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 Fletcher\Documents\classes\ChE 273\Classes\Class20 (Dew Points)\"/>
    </mc:Choice>
  </mc:AlternateContent>
  <bookViews>
    <workbookView xWindow="90" yWindow="105" windowWidth="10380" windowHeight="9465"/>
  </bookViews>
  <sheets>
    <sheet name="Blank-Dew" sheetId="4" r:id="rId1"/>
    <sheet name="Antoine" sheetId="1" r:id="rId2"/>
    <sheet name="DIPPR" sheetId="2" r:id="rId3"/>
    <sheet name="DP Pressure" sheetId="7" r:id="rId4"/>
    <sheet name="Blank-Bubble" sheetId="5" r:id="rId5"/>
    <sheet name="Bubble" sheetId="3" r:id="rId6"/>
    <sheet name="BP Pressure" sheetId="6" r:id="rId7"/>
  </sheets>
  <definedNames>
    <definedName name="solver_adj" localSheetId="1" hidden="1">Antoine!$B$7</definedName>
    <definedName name="solver_adj" localSheetId="5" hidden="1">Bubble!$B$7</definedName>
    <definedName name="solver_adj" localSheetId="2" hidden="1">DIPPR!$B$7</definedName>
    <definedName name="solver_cvg" localSheetId="1" hidden="1">0.0001</definedName>
    <definedName name="solver_cvg" localSheetId="5" hidden="1">0.0001</definedName>
    <definedName name="solver_cvg" localSheetId="2" hidden="1">0.0001</definedName>
    <definedName name="solver_drv" localSheetId="1" hidden="1">1</definedName>
    <definedName name="solver_drv" localSheetId="5" hidden="1">1</definedName>
    <definedName name="solver_drv" localSheetId="2" hidden="1">1</definedName>
    <definedName name="solver_eng" localSheetId="1" hidden="1">1</definedName>
    <definedName name="solver_eng" localSheetId="5" hidden="1">1</definedName>
    <definedName name="solver_eng" localSheetId="2" hidden="1">1</definedName>
    <definedName name="solver_est" localSheetId="1" hidden="1">1</definedName>
    <definedName name="solver_est" localSheetId="5" hidden="1">1</definedName>
    <definedName name="solver_est" localSheetId="2" hidden="1">1</definedName>
    <definedName name="solver_itr" localSheetId="1" hidden="1">100</definedName>
    <definedName name="solver_itr" localSheetId="5" hidden="1">100</definedName>
    <definedName name="solver_itr" localSheetId="2" hidden="1">100</definedName>
    <definedName name="solver_lin" localSheetId="1" hidden="1">2</definedName>
    <definedName name="solver_lin" localSheetId="5" hidden="1">2</definedName>
    <definedName name="solver_lin" localSheetId="2" hidden="1">2</definedName>
    <definedName name="solver_mip" localSheetId="1" hidden="1">2147483647</definedName>
    <definedName name="solver_mip" localSheetId="5" hidden="1">2147483647</definedName>
    <definedName name="solver_mip" localSheetId="2" hidden="1">2147483647</definedName>
    <definedName name="solver_mni" localSheetId="1" hidden="1">30</definedName>
    <definedName name="solver_mni" localSheetId="5" hidden="1">30</definedName>
    <definedName name="solver_mni" localSheetId="2" hidden="1">30</definedName>
    <definedName name="solver_mrt" localSheetId="1" hidden="1">0.075</definedName>
    <definedName name="solver_mrt" localSheetId="5" hidden="1">0.075</definedName>
    <definedName name="solver_mrt" localSheetId="2" hidden="1">0.075</definedName>
    <definedName name="solver_msl" localSheetId="1" hidden="1">2</definedName>
    <definedName name="solver_msl" localSheetId="5" hidden="1">2</definedName>
    <definedName name="solver_msl" localSheetId="2" hidden="1">2</definedName>
    <definedName name="solver_neg" localSheetId="1" hidden="1">2</definedName>
    <definedName name="solver_neg" localSheetId="5" hidden="1">2</definedName>
    <definedName name="solver_neg" localSheetId="2" hidden="1">2</definedName>
    <definedName name="solver_nod" localSheetId="1" hidden="1">2147483647</definedName>
    <definedName name="solver_nod" localSheetId="5" hidden="1">2147483647</definedName>
    <definedName name="solver_nod" localSheetId="2" hidden="1">2147483647</definedName>
    <definedName name="solver_num" localSheetId="1" hidden="1">0</definedName>
    <definedName name="solver_num" localSheetId="5" hidden="1">0</definedName>
    <definedName name="solver_num" localSheetId="2" hidden="1">0</definedName>
    <definedName name="solver_nwt" localSheetId="1" hidden="1">1</definedName>
    <definedName name="solver_nwt" localSheetId="5" hidden="1">1</definedName>
    <definedName name="solver_nwt" localSheetId="2" hidden="1">1</definedName>
    <definedName name="solver_opt" localSheetId="1" hidden="1">Antoine!$B$13</definedName>
    <definedName name="solver_opt" localSheetId="5" hidden="1">Bubble!$B$28</definedName>
    <definedName name="solver_opt" localSheetId="2" hidden="1">DIPPR!$B$23</definedName>
    <definedName name="solver_pre" localSheetId="1" hidden="1">0.000001</definedName>
    <definedName name="solver_pre" localSheetId="5" hidden="1">0.000001</definedName>
    <definedName name="solver_pre" localSheetId="2" hidden="1">0.000001</definedName>
    <definedName name="solver_rbv" localSheetId="1" hidden="1">1</definedName>
    <definedName name="solver_rbv" localSheetId="5" hidden="1">1</definedName>
    <definedName name="solver_rbv" localSheetId="2" hidden="1">1</definedName>
    <definedName name="solver_rlx" localSheetId="1" hidden="1">1</definedName>
    <definedName name="solver_rlx" localSheetId="5" hidden="1">1</definedName>
    <definedName name="solver_rlx" localSheetId="2" hidden="1">1</definedName>
    <definedName name="solver_rsd" localSheetId="1" hidden="1">0</definedName>
    <definedName name="solver_rsd" localSheetId="5" hidden="1">0</definedName>
    <definedName name="solver_rsd" localSheetId="2" hidden="1">0</definedName>
    <definedName name="solver_scl" localSheetId="1" hidden="1">2</definedName>
    <definedName name="solver_scl" localSheetId="5" hidden="1">2</definedName>
    <definedName name="solver_scl" localSheetId="2" hidden="1">2</definedName>
    <definedName name="solver_sho" localSheetId="1" hidden="1">2</definedName>
    <definedName name="solver_sho" localSheetId="5" hidden="1">2</definedName>
    <definedName name="solver_sho" localSheetId="2" hidden="1">2</definedName>
    <definedName name="solver_ssz" localSheetId="1" hidden="1">100</definedName>
    <definedName name="solver_ssz" localSheetId="5" hidden="1">100</definedName>
    <definedName name="solver_ssz" localSheetId="2" hidden="1">100</definedName>
    <definedName name="solver_tim" localSheetId="1" hidden="1">100</definedName>
    <definedName name="solver_tim" localSheetId="5" hidden="1">100</definedName>
    <definedName name="solver_tim" localSheetId="2" hidden="1">100</definedName>
    <definedName name="solver_tol" localSheetId="1" hidden="1">0.05</definedName>
    <definedName name="solver_tol" localSheetId="5" hidden="1">0.05</definedName>
    <definedName name="solver_tol" localSheetId="2" hidden="1">0.05</definedName>
    <definedName name="solver_typ" localSheetId="1" hidden="1">3</definedName>
    <definedName name="solver_typ" localSheetId="5" hidden="1">3</definedName>
    <definedName name="solver_typ" localSheetId="2" hidden="1">3</definedName>
    <definedName name="solver_val" localSheetId="1" hidden="1">0</definedName>
    <definedName name="solver_val" localSheetId="5" hidden="1">0</definedName>
    <definedName name="solver_val" localSheetId="2" hidden="1">0</definedName>
    <definedName name="solver_ver" localSheetId="1" hidden="1">3</definedName>
    <definedName name="solver_ver" localSheetId="5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B21" i="7" l="1"/>
  <c r="B13" i="1"/>
  <c r="B11" i="1" l="1"/>
  <c r="B10" i="1"/>
  <c r="B8" i="3" l="1"/>
  <c r="B21" i="3" s="1"/>
  <c r="B6" i="6"/>
  <c r="B19" i="6" s="1"/>
  <c r="B4" i="6"/>
  <c r="K16" i="6"/>
  <c r="J16" i="6"/>
  <c r="K15" i="6"/>
  <c r="J15" i="6"/>
  <c r="B8" i="6"/>
  <c r="B11" i="6" s="1"/>
  <c r="B9" i="6"/>
  <c r="B6" i="7"/>
  <c r="B18" i="7"/>
  <c r="B19" i="7"/>
  <c r="B4" i="7"/>
  <c r="K16" i="7"/>
  <c r="J16" i="7"/>
  <c r="K15" i="7"/>
  <c r="J15" i="7"/>
  <c r="B8" i="7"/>
  <c r="B9" i="7"/>
  <c r="B11" i="7"/>
  <c r="B4" i="3"/>
  <c r="K18" i="3"/>
  <c r="J18" i="3"/>
  <c r="K17" i="3"/>
  <c r="J17" i="3"/>
  <c r="K18" i="5"/>
  <c r="J18" i="5"/>
  <c r="K17" i="5"/>
  <c r="J17" i="5"/>
  <c r="B6" i="3"/>
  <c r="B4" i="2"/>
  <c r="B4" i="1"/>
  <c r="B18" i="1" s="1"/>
  <c r="K17" i="2"/>
  <c r="J17" i="2"/>
  <c r="K18" i="2"/>
  <c r="J18" i="2"/>
  <c r="B6" i="5"/>
  <c r="B8" i="5"/>
  <c r="B21" i="5" s="1"/>
  <c r="B20" i="5"/>
  <c r="B4" i="5"/>
  <c r="B13" i="5" s="1"/>
  <c r="B10" i="5"/>
  <c r="B11" i="5"/>
  <c r="B10" i="4"/>
  <c r="B11" i="4"/>
  <c r="B6" i="4"/>
  <c r="B4" i="4"/>
  <c r="B8" i="4"/>
  <c r="B10" i="3"/>
  <c r="B11" i="3"/>
  <c r="B6" i="2"/>
  <c r="B8" i="2"/>
  <c r="B21" i="2" s="1"/>
  <c r="B10" i="2"/>
  <c r="B11" i="2"/>
  <c r="B8" i="1"/>
  <c r="B6" i="1"/>
  <c r="B18" i="6" l="1"/>
  <c r="B17" i="1"/>
  <c r="B19" i="1" s="1"/>
  <c r="B20" i="2"/>
  <c r="B23" i="2" s="1"/>
  <c r="B13" i="2"/>
  <c r="B20" i="3"/>
  <c r="B28" i="3" s="1"/>
  <c r="B13" i="3"/>
  <c r="B24" i="7"/>
  <c r="B25" i="7" s="1"/>
  <c r="B22" i="7"/>
  <c r="B22" i="6"/>
  <c r="B23" i="6" l="1"/>
  <c r="B25" i="6"/>
  <c r="B26" i="6" s="1"/>
</calcChain>
</file>

<file path=xl/sharedStrings.xml><?xml version="1.0" encoding="utf-8"?>
<sst xmlns="http://schemas.openxmlformats.org/spreadsheetml/2006/main" count="249" uniqueCount="56">
  <si>
    <t>y_benz=</t>
  </si>
  <si>
    <t>y_tol=</t>
  </si>
  <si>
    <t>Ptot=</t>
  </si>
  <si>
    <t>atm</t>
  </si>
  <si>
    <t>mm Hg</t>
  </si>
  <si>
    <t>T</t>
  </si>
  <si>
    <t>C</t>
  </si>
  <si>
    <t>K</t>
  </si>
  <si>
    <t>P*_benz=</t>
  </si>
  <si>
    <t>P*_tol=</t>
  </si>
  <si>
    <t>Function=</t>
  </si>
  <si>
    <t>Beyond range of correlations!!</t>
  </si>
  <si>
    <t>DIPPR</t>
  </si>
  <si>
    <t>Benzene</t>
  </si>
  <si>
    <t>Toluene</t>
  </si>
  <si>
    <t>Antoine Equation</t>
  </si>
  <si>
    <t>Beyond T range of P* correlations!!</t>
  </si>
  <si>
    <t>A</t>
  </si>
  <si>
    <t>B</t>
  </si>
  <si>
    <t>D</t>
  </si>
  <si>
    <t>E</t>
  </si>
  <si>
    <t xml:space="preserve">          P*=exp(A+B/T+C*ln(T)+D*T^E)</t>
  </si>
  <si>
    <t xml:space="preserve">    Function = 0 = 1 - sum(yi*Ptot/Pi*)</t>
  </si>
  <si>
    <t>x_benz=</t>
  </si>
  <si>
    <t>x_tol=</t>
  </si>
  <si>
    <t xml:space="preserve">    Function = 0 = 1 - sum(xi*Pi*/Ptot)</t>
  </si>
  <si>
    <t>&lt;==== Guess</t>
  </si>
  <si>
    <t>Need to find an equation to set to zero!</t>
  </si>
  <si>
    <t>Rearrange dew point equation:</t>
  </si>
  <si>
    <t xml:space="preserve">    0 = f(T) = 1 - sum(yi*Ptot/Pi*)</t>
  </si>
  <si>
    <t>normal boiling pt</t>
  </si>
  <si>
    <t>Need new function for bubble point!</t>
  </si>
  <si>
    <t>Since xi's are known, we use a slightly different rearrangement of Raoult's Law:</t>
  </si>
  <si>
    <t xml:space="preserve">    Start with sum(yi's) = 1 = sum(xi*Pi*)/Ptot</t>
  </si>
  <si>
    <t>Temp Range ( C)</t>
  </si>
  <si>
    <t>Temp Range (K)</t>
  </si>
  <si>
    <t>Given</t>
  </si>
  <si>
    <t>&lt;==== Given!</t>
  </si>
  <si>
    <t xml:space="preserve">     Ptot = 1/(sum(yi*Pi*)</t>
  </si>
  <si>
    <t xml:space="preserve">   xi = yi*Ptot/pi*</t>
  </si>
  <si>
    <t xml:space="preserve">  P_tot = sum(xi*Pi*)</t>
  </si>
  <si>
    <t>P_tot=</t>
  </si>
  <si>
    <t xml:space="preserve">   yi = xi*Pi*/Ptot</t>
  </si>
  <si>
    <t>yi_benz=</t>
  </si>
  <si>
    <t>yi_tol=</t>
  </si>
  <si>
    <t>(need vounteer!)</t>
  </si>
  <si>
    <t>(need another volunteer!)</t>
  </si>
  <si>
    <t xml:space="preserve">     F(T) = 0 = 1-sum(xi*Pi*)/Ptot</t>
  </si>
  <si>
    <t>Dew Point Example to find temperature</t>
  </si>
  <si>
    <t>xi Pi* = yi Ptot</t>
  </si>
  <si>
    <t>Sum=</t>
  </si>
  <si>
    <t>Dew Point Example to find temperature using DIPPR</t>
  </si>
  <si>
    <t>Dew Point Example to find total pressure using DIPPR</t>
  </si>
  <si>
    <t>Bubble Point Example to find temperature using DIPPR</t>
  </si>
  <si>
    <r>
      <t xml:space="preserve">Bubble Point Example to find </t>
    </r>
    <r>
      <rPr>
        <b/>
        <sz val="14"/>
        <color rgb="FFFF0000"/>
        <rFont val="Arial"/>
        <family val="2"/>
      </rPr>
      <t>pressure</t>
    </r>
    <r>
      <rPr>
        <b/>
        <sz val="14"/>
        <rFont val="Arial"/>
        <family val="2"/>
      </rPr>
      <t xml:space="preserve"> using DIPPR</t>
    </r>
  </si>
  <si>
    <t>Function = 1 - sum(y_i * Ptot/P*_i)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</si>
</sst>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11" fontId="3" fillId="0" borderId="0" xfId="0" applyNumberFormat="1" applyFont="1" applyBorder="1" applyAlignment="1">
      <alignment vertical="top" wrapText="1"/>
    </xf>
    <xf numFmtId="0" fontId="4" fillId="0" borderId="0" xfId="0" applyFont="1"/>
    <xf numFmtId="0" fontId="0" fillId="0" borderId="0" xfId="0" applyBorder="1"/>
    <xf numFmtId="11" fontId="2" fillId="0" borderId="0" xfId="0" applyNumberFormat="1" applyFont="1" applyBorder="1" applyAlignment="1">
      <alignment vertical="top" wrapText="1"/>
    </xf>
    <xf numFmtId="164" fontId="0" fillId="0" borderId="0" xfId="0" applyNumberFormat="1" applyBorder="1"/>
    <xf numFmtId="0" fontId="5" fillId="0" borderId="0" xfId="0" applyFont="1"/>
    <xf numFmtId="0" fontId="0" fillId="0" borderId="0" xfId="0" applyAlignment="1">
      <alignment horizontal="center"/>
    </xf>
    <xf numFmtId="0" fontId="3" fillId="0" borderId="1" xfId="0" applyNumberFormat="1" applyFont="1" applyBorder="1" applyAlignment="1">
      <alignment vertical="top" wrapText="1"/>
    </xf>
    <xf numFmtId="0" fontId="3" fillId="0" borderId="2" xfId="0" applyNumberFormat="1" applyFont="1" applyBorder="1" applyAlignment="1">
      <alignment vertical="top" wrapText="1"/>
    </xf>
    <xf numFmtId="164" fontId="0" fillId="2" borderId="0" xfId="0" applyNumberFormat="1" applyFill="1"/>
    <xf numFmtId="0" fontId="6" fillId="0" borderId="0" xfId="0" applyFont="1"/>
    <xf numFmtId="0" fontId="3" fillId="0" borderId="0" xfId="0" applyNumberFormat="1" applyFont="1" applyBorder="1" applyAlignment="1">
      <alignment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NumberFormat="1" applyFont="1" applyFill="1" applyBorder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3" fillId="4" borderId="0" xfId="0" applyFont="1" applyFill="1"/>
    <xf numFmtId="0" fontId="0" fillId="4" borderId="0" xfId="0" applyFill="1"/>
    <xf numFmtId="0" fontId="6" fillId="4" borderId="0" xfId="0" applyFont="1" applyFill="1"/>
    <xf numFmtId="0" fontId="6" fillId="3" borderId="0" xfId="0" applyFont="1" applyFill="1"/>
    <xf numFmtId="0" fontId="6" fillId="5" borderId="0" xfId="0" applyFont="1" applyFill="1"/>
    <xf numFmtId="0" fontId="3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6" fillId="6" borderId="0" xfId="0" applyFont="1" applyFill="1"/>
    <xf numFmtId="0" fontId="3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2" fontId="6" fillId="2" borderId="0" xfId="0" applyNumberFormat="1" applyFont="1" applyFill="1"/>
    <xf numFmtId="164" fontId="3" fillId="0" borderId="0" xfId="0" applyNumberFormat="1" applyFont="1"/>
    <xf numFmtId="164" fontId="6" fillId="2" borderId="0" xfId="0" applyNumberFormat="1" applyFont="1" applyFill="1"/>
    <xf numFmtId="165" fontId="6" fillId="2" borderId="0" xfId="0" applyNumberFormat="1" applyFont="1" applyFill="1"/>
    <xf numFmtId="0" fontId="7" fillId="0" borderId="0" xfId="0" applyFont="1"/>
    <xf numFmtId="0" fontId="3" fillId="0" borderId="0" xfId="0" applyFont="1" applyFill="1" applyBorder="1"/>
    <xf numFmtId="165" fontId="3" fillId="0" borderId="0" xfId="0" applyNumberFormat="1" applyFont="1" applyBorder="1" applyAlignment="1">
      <alignment vertical="top" wrapText="1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40" zoomScaleNormal="140" workbookViewId="0"/>
  </sheetViews>
  <sheetFormatPr defaultRowHeight="12.75" x14ac:dyDescent="0.2"/>
  <cols>
    <col min="1" max="1" width="11.28515625" customWidth="1"/>
    <col min="2" max="2" width="14.7109375" customWidth="1"/>
    <col min="3" max="5" width="11.28515625" customWidth="1"/>
  </cols>
  <sheetData>
    <row r="1" spans="1:9" ht="18" x14ac:dyDescent="0.25">
      <c r="A1" s="3" t="s">
        <v>48</v>
      </c>
    </row>
    <row r="2" spans="1:9" s="14" customFormat="1" x14ac:dyDescent="0.2">
      <c r="A2" s="21" t="s">
        <v>36</v>
      </c>
      <c r="B2" s="19"/>
      <c r="C2" s="19"/>
      <c r="D2" s="14" t="s">
        <v>30</v>
      </c>
    </row>
    <row r="3" spans="1:9" x14ac:dyDescent="0.2">
      <c r="A3" s="20" t="s">
        <v>0</v>
      </c>
      <c r="B3" s="20">
        <v>0.4</v>
      </c>
      <c r="C3" s="20"/>
      <c r="D3">
        <v>80.099999999999994</v>
      </c>
      <c r="E3" t="s">
        <v>6</v>
      </c>
    </row>
    <row r="4" spans="1:9" x14ac:dyDescent="0.2">
      <c r="A4" s="20" t="s">
        <v>1</v>
      </c>
      <c r="B4" s="20">
        <f>1-B3</f>
        <v>0.6</v>
      </c>
      <c r="C4" s="20"/>
      <c r="D4">
        <v>110.6</v>
      </c>
      <c r="E4" t="s">
        <v>6</v>
      </c>
    </row>
    <row r="5" spans="1:9" x14ac:dyDescent="0.2">
      <c r="A5" s="20" t="s">
        <v>2</v>
      </c>
      <c r="B5" s="20">
        <v>2</v>
      </c>
      <c r="C5" s="20" t="s">
        <v>3</v>
      </c>
    </row>
    <row r="6" spans="1:9" x14ac:dyDescent="0.2">
      <c r="B6">
        <f>760*B5</f>
        <v>1520</v>
      </c>
      <c r="C6" t="s">
        <v>4</v>
      </c>
    </row>
    <row r="7" spans="1:9" x14ac:dyDescent="0.2">
      <c r="A7" t="s">
        <v>5</v>
      </c>
      <c r="B7" s="11">
        <v>30</v>
      </c>
      <c r="C7" t="s">
        <v>6</v>
      </c>
      <c r="D7" s="7" t="s">
        <v>26</v>
      </c>
    </row>
    <row r="8" spans="1:9" x14ac:dyDescent="0.2">
      <c r="B8" s="1">
        <f>B7+273</f>
        <v>303</v>
      </c>
      <c r="C8" t="s">
        <v>7</v>
      </c>
    </row>
    <row r="9" spans="1:9" x14ac:dyDescent="0.2">
      <c r="A9" s="12" t="s">
        <v>15</v>
      </c>
      <c r="B9" s="1"/>
      <c r="D9" s="8" t="s">
        <v>17</v>
      </c>
      <c r="E9" s="8" t="s">
        <v>18</v>
      </c>
      <c r="F9" s="8" t="s">
        <v>6</v>
      </c>
      <c r="H9" s="15" t="s">
        <v>34</v>
      </c>
    </row>
    <row r="10" spans="1:9" x14ac:dyDescent="0.2">
      <c r="A10" t="s">
        <v>8</v>
      </c>
      <c r="B10" s="1">
        <f>10^(D10-E10/($B$7+F10))</f>
        <v>119.24448597060719</v>
      </c>
      <c r="C10" t="s">
        <v>4</v>
      </c>
      <c r="D10">
        <v>6.8927199999999997</v>
      </c>
      <c r="E10">
        <v>1203.5309999999999</v>
      </c>
      <c r="F10">
        <v>219.88800000000001</v>
      </c>
      <c r="H10">
        <v>14.5</v>
      </c>
      <c r="I10">
        <v>80.900000000000006</v>
      </c>
    </row>
    <row r="11" spans="1:9" x14ac:dyDescent="0.2">
      <c r="A11" t="s">
        <v>9</v>
      </c>
      <c r="B11" s="1">
        <f>10^(D11-E11/($B$7+F11))</f>
        <v>36.671993366031316</v>
      </c>
      <c r="C11" t="s">
        <v>4</v>
      </c>
      <c r="D11">
        <v>6.9580500000000001</v>
      </c>
      <c r="E11">
        <v>1346.7729999999999</v>
      </c>
      <c r="F11">
        <v>219.69300000000001</v>
      </c>
      <c r="H11">
        <v>35.299999999999997</v>
      </c>
      <c r="I11">
        <v>111.5</v>
      </c>
    </row>
    <row r="12" spans="1:9" x14ac:dyDescent="0.2">
      <c r="B12" s="1"/>
    </row>
    <row r="13" spans="1:9" x14ac:dyDescent="0.2">
      <c r="A13" t="s">
        <v>27</v>
      </c>
      <c r="B13" s="1"/>
    </row>
    <row r="14" spans="1:9" x14ac:dyDescent="0.2">
      <c r="A14" t="s">
        <v>28</v>
      </c>
      <c r="B14" s="1"/>
    </row>
    <row r="15" spans="1:9" x14ac:dyDescent="0.2">
      <c r="A15" s="12" t="s">
        <v>29</v>
      </c>
      <c r="B15" s="1"/>
    </row>
    <row r="17" spans="1:6" x14ac:dyDescent="0.2">
      <c r="A17" s="37" t="s">
        <v>10</v>
      </c>
      <c r="C17" t="s">
        <v>45</v>
      </c>
    </row>
    <row r="18" spans="1:6" x14ac:dyDescent="0.2">
      <c r="B18" s="7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2"/>
      <c r="C21" s="2"/>
      <c r="D21" s="2"/>
      <c r="E21" s="2"/>
      <c r="F21" s="2"/>
    </row>
    <row r="22" spans="1:6" x14ac:dyDescent="0.2">
      <c r="A22" s="4"/>
      <c r="B22" s="5"/>
      <c r="C22" s="5"/>
      <c r="D22" s="5"/>
      <c r="E22" s="5"/>
      <c r="F22" s="5"/>
    </row>
    <row r="23" spans="1:6" x14ac:dyDescent="0.2">
      <c r="A23" s="4"/>
      <c r="B23" s="6"/>
      <c r="C23" s="4"/>
      <c r="D23" s="4"/>
      <c r="E23" s="4"/>
      <c r="F23" s="4"/>
    </row>
    <row r="24" spans="1:6" x14ac:dyDescent="0.2">
      <c r="A24" s="4"/>
      <c r="B24" s="6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70" zoomScaleNormal="170" workbookViewId="0">
      <selection activeCell="F5" sqref="F5"/>
    </sheetView>
  </sheetViews>
  <sheetFormatPr defaultRowHeight="12.75" x14ac:dyDescent="0.2"/>
  <cols>
    <col min="1" max="1" width="11.28515625" customWidth="1"/>
    <col min="2" max="2" width="14.7109375" customWidth="1"/>
    <col min="3" max="5" width="11.28515625" customWidth="1"/>
  </cols>
  <sheetData>
    <row r="1" spans="1:9" ht="18" x14ac:dyDescent="0.25">
      <c r="A1" s="3" t="s">
        <v>48</v>
      </c>
    </row>
    <row r="2" spans="1:9" x14ac:dyDescent="0.2">
      <c r="A2" s="21" t="s">
        <v>36</v>
      </c>
      <c r="B2" s="19"/>
      <c r="C2" s="19"/>
    </row>
    <row r="3" spans="1:9" x14ac:dyDescent="0.2">
      <c r="A3" s="20" t="s">
        <v>0</v>
      </c>
      <c r="B3" s="20">
        <v>0.4</v>
      </c>
      <c r="C3" s="20"/>
    </row>
    <row r="4" spans="1:9" x14ac:dyDescent="0.2">
      <c r="A4" s="20" t="s">
        <v>1</v>
      </c>
      <c r="B4" s="20">
        <f>1-B3</f>
        <v>0.6</v>
      </c>
      <c r="C4" s="20"/>
    </row>
    <row r="5" spans="1:9" x14ac:dyDescent="0.2">
      <c r="A5" s="20" t="s">
        <v>2</v>
      </c>
      <c r="B5" s="20">
        <v>2</v>
      </c>
      <c r="C5" s="20" t="s">
        <v>3</v>
      </c>
    </row>
    <row r="6" spans="1:9" x14ac:dyDescent="0.2">
      <c r="B6">
        <f>760*B5</f>
        <v>1520</v>
      </c>
      <c r="C6" t="s">
        <v>4</v>
      </c>
    </row>
    <row r="7" spans="1:9" x14ac:dyDescent="0.2">
      <c r="A7" t="s">
        <v>5</v>
      </c>
      <c r="B7" s="11">
        <v>126.9839635881482</v>
      </c>
      <c r="C7" t="s">
        <v>6</v>
      </c>
      <c r="D7" s="7" t="s">
        <v>26</v>
      </c>
    </row>
    <row r="8" spans="1:9" x14ac:dyDescent="0.2">
      <c r="B8" s="1">
        <f>B7+273</f>
        <v>399.98396358814819</v>
      </c>
      <c r="C8" t="s">
        <v>7</v>
      </c>
    </row>
    <row r="9" spans="1:9" x14ac:dyDescent="0.2">
      <c r="A9" s="12" t="s">
        <v>15</v>
      </c>
      <c r="B9" s="1"/>
      <c r="D9" s="8" t="s">
        <v>17</v>
      </c>
      <c r="E9" s="8" t="s">
        <v>18</v>
      </c>
      <c r="F9" s="8" t="s">
        <v>6</v>
      </c>
      <c r="H9" s="15" t="s">
        <v>34</v>
      </c>
    </row>
    <row r="10" spans="1:9" x14ac:dyDescent="0.2">
      <c r="A10" t="s">
        <v>8</v>
      </c>
      <c r="B10" s="1">
        <f>10^(D10-E10/($B$7+F10))</f>
        <v>2648.8093997559017</v>
      </c>
      <c r="C10" t="s">
        <v>4</v>
      </c>
      <c r="D10">
        <v>6.8927199999999997</v>
      </c>
      <c r="E10">
        <v>1203.5309999999999</v>
      </c>
      <c r="F10">
        <v>219.88800000000001</v>
      </c>
      <c r="H10">
        <v>14.5</v>
      </c>
      <c r="I10">
        <v>80.900000000000006</v>
      </c>
    </row>
    <row r="11" spans="1:9" x14ac:dyDescent="0.2">
      <c r="A11" t="s">
        <v>9</v>
      </c>
      <c r="B11" s="1">
        <f>10^(D11-E11/($B$7+F11))</f>
        <v>1183.7044320288503</v>
      </c>
      <c r="C11" t="s">
        <v>4</v>
      </c>
      <c r="D11">
        <v>6.9580500000000001</v>
      </c>
      <c r="E11">
        <v>1346.7729999999999</v>
      </c>
      <c r="F11">
        <v>219.69300000000001</v>
      </c>
      <c r="H11">
        <v>35.299999999999997</v>
      </c>
      <c r="I11">
        <v>111.5</v>
      </c>
    </row>
    <row r="12" spans="1:9" x14ac:dyDescent="0.2">
      <c r="A12" s="14" t="s">
        <v>55</v>
      </c>
      <c r="B12" s="1"/>
    </row>
    <row r="13" spans="1:9" x14ac:dyDescent="0.2">
      <c r="A13" t="s">
        <v>10</v>
      </c>
      <c r="B13">
        <f>1-(B3*B6/B10+B4*B6/B11)</f>
        <v>3.0581027787857096E-7</v>
      </c>
    </row>
    <row r="14" spans="1:9" x14ac:dyDescent="0.2">
      <c r="B14" s="7" t="s">
        <v>16</v>
      </c>
    </row>
    <row r="16" spans="1:9" x14ac:dyDescent="0.2">
      <c r="A16" s="40" t="s">
        <v>49</v>
      </c>
      <c r="B16" s="4"/>
      <c r="C16" s="4"/>
      <c r="D16" s="4"/>
      <c r="E16" s="4"/>
      <c r="F16" s="4"/>
    </row>
    <row r="17" spans="1:6" x14ac:dyDescent="0.2">
      <c r="A17" s="38" t="s">
        <v>23</v>
      </c>
      <c r="B17" s="39">
        <f>B3*B6/B10</f>
        <v>0.22953708940176276</v>
      </c>
      <c r="C17" s="2"/>
      <c r="D17" s="2"/>
      <c r="E17" s="2"/>
      <c r="F17" s="2"/>
    </row>
    <row r="18" spans="1:6" x14ac:dyDescent="0.2">
      <c r="A18" s="38" t="s">
        <v>24</v>
      </c>
      <c r="B18" s="39">
        <f>B4*B6/B11</f>
        <v>0.77046260478795936</v>
      </c>
      <c r="C18" s="5"/>
      <c r="D18" s="5"/>
      <c r="E18" s="5"/>
      <c r="F18" s="5"/>
    </row>
    <row r="19" spans="1:6" x14ac:dyDescent="0.2">
      <c r="A19" s="38" t="s">
        <v>50</v>
      </c>
      <c r="B19" s="6">
        <f>B17+B18</f>
        <v>0.99999969418972212</v>
      </c>
      <c r="C19" s="4"/>
      <c r="D19" s="4"/>
      <c r="E19" s="4"/>
      <c r="F19" s="4"/>
    </row>
    <row r="20" spans="1:6" x14ac:dyDescent="0.2">
      <c r="A20" s="4"/>
      <c r="B20" s="6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zoomScale="130" zoomScaleNormal="130" workbookViewId="0">
      <selection activeCell="B8" sqref="B8"/>
    </sheetView>
  </sheetViews>
  <sheetFormatPr defaultRowHeight="12.75" x14ac:dyDescent="0.2"/>
  <cols>
    <col min="1" max="5" width="11.28515625" customWidth="1"/>
  </cols>
  <sheetData>
    <row r="1" spans="1:10" ht="18" x14ac:dyDescent="0.25">
      <c r="A1" s="3" t="s">
        <v>51</v>
      </c>
    </row>
    <row r="2" spans="1:10" x14ac:dyDescent="0.2">
      <c r="A2" s="21" t="s">
        <v>36</v>
      </c>
      <c r="B2" s="19"/>
      <c r="C2" s="19"/>
    </row>
    <row r="3" spans="1:10" x14ac:dyDescent="0.2">
      <c r="A3" s="20" t="s">
        <v>0</v>
      </c>
      <c r="B3" s="20">
        <v>0.4</v>
      </c>
      <c r="C3" s="20"/>
    </row>
    <row r="4" spans="1:10" x14ac:dyDescent="0.2">
      <c r="A4" s="20" t="s">
        <v>1</v>
      </c>
      <c r="B4" s="20">
        <f>1-B3</f>
        <v>0.6</v>
      </c>
      <c r="C4" s="20"/>
    </row>
    <row r="5" spans="1:10" x14ac:dyDescent="0.2">
      <c r="A5" s="20" t="s">
        <v>2</v>
      </c>
      <c r="B5" s="20">
        <v>2</v>
      </c>
      <c r="C5" s="20" t="s">
        <v>3</v>
      </c>
    </row>
    <row r="6" spans="1:10" x14ac:dyDescent="0.2">
      <c r="B6">
        <f>760*B5</f>
        <v>1520</v>
      </c>
      <c r="C6" t="s">
        <v>4</v>
      </c>
    </row>
    <row r="7" spans="1:10" x14ac:dyDescent="0.2">
      <c r="A7" t="s">
        <v>5</v>
      </c>
      <c r="B7" s="11">
        <v>127</v>
      </c>
      <c r="C7" t="s">
        <v>6</v>
      </c>
      <c r="D7" s="7" t="s">
        <v>26</v>
      </c>
    </row>
    <row r="8" spans="1:10" x14ac:dyDescent="0.2">
      <c r="B8" s="1">
        <f>B7+273</f>
        <v>400</v>
      </c>
      <c r="C8" t="s">
        <v>7</v>
      </c>
    </row>
    <row r="9" spans="1:10" x14ac:dyDescent="0.2">
      <c r="A9" s="22" t="s">
        <v>15</v>
      </c>
      <c r="B9" s="18"/>
      <c r="C9" s="17"/>
      <c r="D9" s="17"/>
    </row>
    <row r="10" spans="1:10" x14ac:dyDescent="0.2">
      <c r="A10" s="17" t="s">
        <v>8</v>
      </c>
      <c r="B10" s="18">
        <f>10^(6.89272-1203.531/(B7+219.888))</f>
        <v>2649.7878812305362</v>
      </c>
      <c r="C10" s="17" t="s">
        <v>4</v>
      </c>
      <c r="D10" s="17"/>
    </row>
    <row r="11" spans="1:10" x14ac:dyDescent="0.2">
      <c r="A11" s="17" t="s">
        <v>9</v>
      </c>
      <c r="B11" s="18">
        <f>10^(6.95805-1346.773/(B7+219.693))</f>
        <v>1184.1943014803551</v>
      </c>
      <c r="C11" s="17" t="s">
        <v>4</v>
      </c>
      <c r="D11" s="17"/>
    </row>
    <row r="12" spans="1:10" x14ac:dyDescent="0.2">
      <c r="A12" s="17" t="s">
        <v>22</v>
      </c>
      <c r="B12" s="18"/>
      <c r="C12" s="17"/>
      <c r="D12" s="17"/>
    </row>
    <row r="13" spans="1:10" x14ac:dyDescent="0.2">
      <c r="A13" s="17" t="s">
        <v>10</v>
      </c>
      <c r="B13" s="17">
        <f>1-(B3*B6/B10+B4*B6/B11)</f>
        <v>4.0378621255332536E-4</v>
      </c>
      <c r="C13" s="17"/>
      <c r="D13" s="17"/>
    </row>
    <row r="14" spans="1:10" x14ac:dyDescent="0.2">
      <c r="A14" s="17"/>
      <c r="B14" s="17" t="s">
        <v>11</v>
      </c>
      <c r="C14" s="17"/>
      <c r="D14" s="17"/>
    </row>
    <row r="16" spans="1:10" ht="13.5" thickBot="1" x14ac:dyDescent="0.25">
      <c r="A16" s="12" t="s">
        <v>12</v>
      </c>
      <c r="B16" s="8" t="s">
        <v>17</v>
      </c>
      <c r="C16" s="8" t="s">
        <v>18</v>
      </c>
      <c r="D16" s="8" t="s">
        <v>6</v>
      </c>
      <c r="E16" s="8" t="s">
        <v>19</v>
      </c>
      <c r="F16" s="8" t="s">
        <v>20</v>
      </c>
      <c r="H16" s="15" t="s">
        <v>35</v>
      </c>
      <c r="J16" t="s">
        <v>34</v>
      </c>
    </row>
    <row r="17" spans="1:16384" ht="13.5" thickBot="1" x14ac:dyDescent="0.25">
      <c r="A17" t="s">
        <v>13</v>
      </c>
      <c r="B17" s="9">
        <v>83.106999999999999</v>
      </c>
      <c r="C17" s="10">
        <v>-6486.2</v>
      </c>
      <c r="D17" s="10">
        <v>-9.2194000000000003</v>
      </c>
      <c r="E17" s="10">
        <v>6.9844000000000004E-6</v>
      </c>
      <c r="F17" s="10">
        <v>2</v>
      </c>
      <c r="H17" s="16">
        <v>278.68</v>
      </c>
      <c r="I17" s="16">
        <v>562.04999999999995</v>
      </c>
      <c r="J17">
        <f>H17-273</f>
        <v>5.6800000000000068</v>
      </c>
      <c r="K17">
        <f>I17-273</f>
        <v>289.04999999999995</v>
      </c>
    </row>
    <row r="18" spans="1:16384" ht="13.5" thickBot="1" x14ac:dyDescent="0.25">
      <c r="A18" t="s">
        <v>14</v>
      </c>
      <c r="B18" s="9">
        <v>76.944999999999993</v>
      </c>
      <c r="C18" s="10">
        <v>-6729.8</v>
      </c>
      <c r="D18" s="10">
        <v>-8.1790000000000003</v>
      </c>
      <c r="E18" s="10">
        <v>5.3017000000000004E-6</v>
      </c>
      <c r="F18" s="10">
        <v>2</v>
      </c>
      <c r="H18" s="16">
        <v>178.18</v>
      </c>
      <c r="I18" s="16">
        <v>591.75</v>
      </c>
      <c r="J18">
        <f>H18-273</f>
        <v>-94.82</v>
      </c>
      <c r="K18">
        <f>I18-273</f>
        <v>318.75</v>
      </c>
    </row>
    <row r="19" spans="1:16384" x14ac:dyDescent="0.2">
      <c r="A19" t="s">
        <v>21</v>
      </c>
      <c r="B19" s="13"/>
      <c r="C19" s="13"/>
      <c r="D19" s="13"/>
      <c r="E19" s="13"/>
      <c r="F19" s="13"/>
    </row>
    <row r="20" spans="1:16384" x14ac:dyDescent="0.2">
      <c r="A20" t="s">
        <v>8</v>
      </c>
      <c r="B20" s="1">
        <f>EXP(B17+C17/$B$8+D17*LN($B$8)+E17*$B$8^F17)*760/101325</f>
        <v>2639.9776657899993</v>
      </c>
      <c r="C20" t="s">
        <v>4</v>
      </c>
    </row>
    <row r="21" spans="1:16384" x14ac:dyDescent="0.2">
      <c r="A21" t="s">
        <v>9</v>
      </c>
      <c r="B21" s="1">
        <f>EXP(B18+C18/$B$8+D18*LN($B$8)+E18*$B$8^F18)*760/101325</f>
        <v>1178.2828561759513</v>
      </c>
      <c r="C21" t="s">
        <v>4</v>
      </c>
    </row>
    <row r="22" spans="1:16384" x14ac:dyDescent="0.2">
      <c r="A22" s="14" t="s">
        <v>55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pans="1:16384" x14ac:dyDescent="0.2">
      <c r="A23" t="s">
        <v>10</v>
      </c>
      <c r="B23">
        <f>1-(B3*B6/B20+B4*B6/B21)</f>
        <v>-4.3126757316438447E-3</v>
      </c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B22" sqref="B22"/>
    </sheetView>
  </sheetViews>
  <sheetFormatPr defaultRowHeight="12.75" x14ac:dyDescent="0.2"/>
  <cols>
    <col min="1" max="5" width="11.28515625" customWidth="1"/>
  </cols>
  <sheetData>
    <row r="1" spans="1:11" ht="18" x14ac:dyDescent="0.25">
      <c r="A1" s="3" t="s">
        <v>52</v>
      </c>
    </row>
    <row r="2" spans="1:11" x14ac:dyDescent="0.2">
      <c r="A2" s="27" t="s">
        <v>36</v>
      </c>
      <c r="B2" s="28"/>
      <c r="C2" s="28"/>
    </row>
    <row r="3" spans="1:11" x14ac:dyDescent="0.2">
      <c r="A3" s="29" t="s">
        <v>0</v>
      </c>
      <c r="B3" s="29">
        <v>0.4</v>
      </c>
      <c r="C3" s="29"/>
    </row>
    <row r="4" spans="1:11" x14ac:dyDescent="0.2">
      <c r="A4" s="29" t="s">
        <v>1</v>
      </c>
      <c r="B4" s="29">
        <f>1-B3</f>
        <v>0.6</v>
      </c>
      <c r="C4" s="29"/>
    </row>
    <row r="5" spans="1:11" x14ac:dyDescent="0.2">
      <c r="A5" s="29" t="s">
        <v>5</v>
      </c>
      <c r="B5" s="30">
        <v>127.2</v>
      </c>
      <c r="C5" s="29" t="s">
        <v>6</v>
      </c>
      <c r="D5" s="7" t="s">
        <v>37</v>
      </c>
    </row>
    <row r="6" spans="1:11" x14ac:dyDescent="0.2">
      <c r="B6" s="1">
        <f>B5+273</f>
        <v>400.2</v>
      </c>
      <c r="C6" t="s">
        <v>7</v>
      </c>
    </row>
    <row r="7" spans="1:11" x14ac:dyDescent="0.2">
      <c r="A7" s="22" t="s">
        <v>15</v>
      </c>
      <c r="B7" s="18"/>
      <c r="C7" s="17"/>
      <c r="D7" s="17"/>
    </row>
    <row r="8" spans="1:11" x14ac:dyDescent="0.2">
      <c r="A8" s="17" t="s">
        <v>8</v>
      </c>
      <c r="B8" s="18">
        <f>10^(6.89272-1203.531/(B5+219.888))</f>
        <v>2662.0139036571295</v>
      </c>
      <c r="C8" s="17" t="s">
        <v>4</v>
      </c>
      <c r="D8" s="17"/>
    </row>
    <row r="9" spans="1:11" x14ac:dyDescent="0.2">
      <c r="A9" s="17" t="s">
        <v>9</v>
      </c>
      <c r="B9" s="18">
        <f>10^(6.95805-1346.773/(B5+219.693))</f>
        <v>1190.3169983547878</v>
      </c>
      <c r="C9" s="17" t="s">
        <v>4</v>
      </c>
      <c r="D9" s="17"/>
    </row>
    <row r="10" spans="1:11" x14ac:dyDescent="0.2">
      <c r="A10" s="17" t="s">
        <v>22</v>
      </c>
      <c r="B10" s="18"/>
      <c r="C10" s="17"/>
      <c r="D10" s="17"/>
    </row>
    <row r="11" spans="1:11" x14ac:dyDescent="0.2">
      <c r="A11" s="17" t="s">
        <v>10</v>
      </c>
      <c r="B11" s="17" t="e">
        <f>1-(B3*#REF!/B8+B4*#REF!/B9)</f>
        <v>#REF!</v>
      </c>
      <c r="C11" s="17"/>
      <c r="D11" s="17"/>
    </row>
    <row r="12" spans="1:11" x14ac:dyDescent="0.2">
      <c r="A12" s="17"/>
      <c r="B12" s="17" t="s">
        <v>11</v>
      </c>
      <c r="C12" s="17"/>
      <c r="D12" s="17"/>
    </row>
    <row r="14" spans="1:11" ht="13.5" thickBot="1" x14ac:dyDescent="0.25">
      <c r="A14" s="12" t="s">
        <v>12</v>
      </c>
      <c r="B14" s="8" t="s">
        <v>17</v>
      </c>
      <c r="C14" s="8" t="s">
        <v>18</v>
      </c>
      <c r="D14" s="8" t="s">
        <v>6</v>
      </c>
      <c r="E14" s="8" t="s">
        <v>19</v>
      </c>
      <c r="F14" s="8" t="s">
        <v>20</v>
      </c>
      <c r="H14" s="15" t="s">
        <v>35</v>
      </c>
      <c r="J14" t="s">
        <v>34</v>
      </c>
    </row>
    <row r="15" spans="1:11" ht="13.5" thickBot="1" x14ac:dyDescent="0.25">
      <c r="A15" t="s">
        <v>13</v>
      </c>
      <c r="B15" s="9">
        <v>83.106999999999999</v>
      </c>
      <c r="C15" s="10">
        <v>-6486.2</v>
      </c>
      <c r="D15" s="10">
        <v>-9.2194000000000003</v>
      </c>
      <c r="E15" s="10">
        <v>6.9844000000000004E-6</v>
      </c>
      <c r="F15" s="10">
        <v>2</v>
      </c>
      <c r="H15" s="16">
        <v>278.68</v>
      </c>
      <c r="I15" s="16">
        <v>562.04999999999995</v>
      </c>
      <c r="J15">
        <f>H15-273</f>
        <v>5.6800000000000068</v>
      </c>
      <c r="K15">
        <f>I15-273</f>
        <v>289.04999999999995</v>
      </c>
    </row>
    <row r="16" spans="1:11" ht="13.5" thickBot="1" x14ac:dyDescent="0.25">
      <c r="A16" t="s">
        <v>14</v>
      </c>
      <c r="B16" s="9">
        <v>76.944999999999993</v>
      </c>
      <c r="C16" s="10">
        <v>-6729.8</v>
      </c>
      <c r="D16" s="10">
        <v>-8.1790000000000003</v>
      </c>
      <c r="E16" s="10">
        <v>5.3017000000000004E-6</v>
      </c>
      <c r="F16" s="10">
        <v>2</v>
      </c>
      <c r="H16" s="16">
        <v>178.18</v>
      </c>
      <c r="I16" s="16">
        <v>591.75</v>
      </c>
      <c r="J16">
        <f>H16-273</f>
        <v>-94.82</v>
      </c>
      <c r="K16">
        <f>I16-273</f>
        <v>318.75</v>
      </c>
    </row>
    <row r="17" spans="1:6" x14ac:dyDescent="0.2">
      <c r="A17" t="s">
        <v>21</v>
      </c>
      <c r="B17" s="13"/>
      <c r="C17" s="13"/>
      <c r="D17" s="13"/>
      <c r="E17" s="13"/>
      <c r="F17" s="13"/>
    </row>
    <row r="18" spans="1:6" x14ac:dyDescent="0.2">
      <c r="A18" t="s">
        <v>8</v>
      </c>
      <c r="B18" s="1">
        <f>EXP(B15+C15/$B$6+D15*LN($B$6)+E15*$B$6^F15)*760/101325</f>
        <v>2652.183838871113</v>
      </c>
      <c r="C18" t="s">
        <v>4</v>
      </c>
    </row>
    <row r="19" spans="1:6" x14ac:dyDescent="0.2">
      <c r="A19" t="s">
        <v>9</v>
      </c>
      <c r="B19" s="1">
        <f>EXP(B16+C16/$B$6+D16*LN($B$6)+E16*$B$6^F16)*760/101325</f>
        <v>1184.3880457211246</v>
      </c>
      <c r="C19" t="s">
        <v>4</v>
      </c>
    </row>
    <row r="20" spans="1:6" x14ac:dyDescent="0.2">
      <c r="A20" s="7" t="s">
        <v>38</v>
      </c>
      <c r="B20" s="1"/>
    </row>
    <row r="21" spans="1:6" x14ac:dyDescent="0.2">
      <c r="A21" s="31" t="s">
        <v>2</v>
      </c>
      <c r="B21" s="32">
        <f>1/(B3/B18+B4/B19)</f>
        <v>1521.1211464917599</v>
      </c>
      <c r="C21" s="31" t="s">
        <v>4</v>
      </c>
    </row>
    <row r="22" spans="1:6" x14ac:dyDescent="0.2">
      <c r="A22" s="31"/>
      <c r="B22" s="33">
        <f>B21/760</f>
        <v>2.0014751927523156</v>
      </c>
      <c r="C22" s="31" t="s">
        <v>3</v>
      </c>
    </row>
    <row r="23" spans="1:6" x14ac:dyDescent="0.2">
      <c r="A23" s="7" t="s">
        <v>39</v>
      </c>
    </row>
    <row r="24" spans="1:6" x14ac:dyDescent="0.2">
      <c r="A24" s="31" t="s">
        <v>23</v>
      </c>
      <c r="B24" s="31">
        <f>B3*B21/B18</f>
        <v>0.22941413399747076</v>
      </c>
    </row>
    <row r="25" spans="1:6" x14ac:dyDescent="0.2">
      <c r="A25" s="31" t="s">
        <v>24</v>
      </c>
      <c r="B25" s="31">
        <f>1-B24</f>
        <v>0.77058586600252921</v>
      </c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30" zoomScaleNormal="130" workbookViewId="0"/>
  </sheetViews>
  <sheetFormatPr defaultRowHeight="12.75" x14ac:dyDescent="0.2"/>
  <cols>
    <col min="1" max="5" width="11.28515625" customWidth="1"/>
  </cols>
  <sheetData>
    <row r="1" spans="1:10" ht="18" x14ac:dyDescent="0.25">
      <c r="A1" s="3" t="s">
        <v>53</v>
      </c>
    </row>
    <row r="2" spans="1:10" s="14" customFormat="1" x14ac:dyDescent="0.2">
      <c r="A2" s="23" t="s">
        <v>36</v>
      </c>
      <c r="B2" s="24"/>
      <c r="C2" s="24"/>
      <c r="D2" s="14" t="s">
        <v>30</v>
      </c>
    </row>
    <row r="3" spans="1:10" x14ac:dyDescent="0.2">
      <c r="A3" s="25" t="s">
        <v>23</v>
      </c>
      <c r="B3" s="25">
        <v>0.35</v>
      </c>
      <c r="C3" s="25"/>
      <c r="D3">
        <v>80.099999999999994</v>
      </c>
      <c r="E3" t="s">
        <v>6</v>
      </c>
    </row>
    <row r="4" spans="1:10" x14ac:dyDescent="0.2">
      <c r="A4" s="25" t="s">
        <v>24</v>
      </c>
      <c r="B4" s="25">
        <f>1-B3</f>
        <v>0.65</v>
      </c>
      <c r="C4" s="25"/>
      <c r="D4">
        <v>110.6</v>
      </c>
      <c r="E4" t="s">
        <v>6</v>
      </c>
    </row>
    <row r="5" spans="1:10" x14ac:dyDescent="0.2">
      <c r="A5" s="25" t="s">
        <v>2</v>
      </c>
      <c r="B5" s="25">
        <v>2</v>
      </c>
      <c r="C5" s="25" t="s">
        <v>3</v>
      </c>
    </row>
    <row r="6" spans="1:10" x14ac:dyDescent="0.2">
      <c r="B6">
        <f>760*B5</f>
        <v>1520</v>
      </c>
      <c r="C6" t="s">
        <v>4</v>
      </c>
    </row>
    <row r="7" spans="1:10" x14ac:dyDescent="0.2">
      <c r="A7" t="s">
        <v>5</v>
      </c>
      <c r="B7" s="11">
        <v>85</v>
      </c>
      <c r="C7" t="s">
        <v>6</v>
      </c>
      <c r="D7" s="7" t="s">
        <v>26</v>
      </c>
    </row>
    <row r="8" spans="1:10" x14ac:dyDescent="0.2">
      <c r="B8" s="1">
        <f>B7+273</f>
        <v>358</v>
      </c>
      <c r="C8" t="s">
        <v>7</v>
      </c>
    </row>
    <row r="9" spans="1:10" x14ac:dyDescent="0.2">
      <c r="A9" s="17" t="s">
        <v>15</v>
      </c>
      <c r="B9" s="18"/>
      <c r="C9" s="17"/>
      <c r="D9" s="17"/>
    </row>
    <row r="10" spans="1:10" x14ac:dyDescent="0.2">
      <c r="A10" s="17" t="s">
        <v>8</v>
      </c>
      <c r="B10" s="18">
        <f>10^(6.89272-1203.531/(B7+219.888))</f>
        <v>881.59103443283584</v>
      </c>
      <c r="C10" s="17" t="s">
        <v>4</v>
      </c>
      <c r="D10" s="17"/>
    </row>
    <row r="11" spans="1:10" x14ac:dyDescent="0.2">
      <c r="A11" s="17" t="s">
        <v>9</v>
      </c>
      <c r="B11" s="18">
        <f>10^(6.95805-1346.773/(B7+219.693))</f>
        <v>345.10538588496189</v>
      </c>
      <c r="C11" s="17" t="s">
        <v>4</v>
      </c>
      <c r="D11" s="17"/>
    </row>
    <row r="12" spans="1:10" x14ac:dyDescent="0.2">
      <c r="A12" s="17" t="s">
        <v>25</v>
      </c>
      <c r="B12" s="18"/>
      <c r="C12" s="17"/>
      <c r="D12" s="17"/>
    </row>
    <row r="13" spans="1:10" x14ac:dyDescent="0.2">
      <c r="A13" s="17" t="s">
        <v>10</v>
      </c>
      <c r="B13" s="17">
        <f>B6-(B3*B10+B4*B11)</f>
        <v>987.12463712328224</v>
      </c>
      <c r="C13" s="17"/>
      <c r="D13" s="17"/>
    </row>
    <row r="14" spans="1:10" x14ac:dyDescent="0.2">
      <c r="A14" s="17"/>
      <c r="B14" s="17" t="s">
        <v>11</v>
      </c>
      <c r="C14" s="17"/>
      <c r="D14" s="17"/>
    </row>
    <row r="16" spans="1:10" ht="13.5" thickBot="1" x14ac:dyDescent="0.25">
      <c r="A16" s="12" t="s">
        <v>12</v>
      </c>
      <c r="B16" s="8" t="s">
        <v>17</v>
      </c>
      <c r="C16" s="8" t="s">
        <v>18</v>
      </c>
      <c r="D16" s="8" t="s">
        <v>6</v>
      </c>
      <c r="E16" s="8" t="s">
        <v>19</v>
      </c>
      <c r="F16" s="8" t="s">
        <v>20</v>
      </c>
      <c r="H16" s="15" t="s">
        <v>35</v>
      </c>
      <c r="J16" t="s">
        <v>34</v>
      </c>
    </row>
    <row r="17" spans="1:11" ht="13.5" thickBot="1" x14ac:dyDescent="0.25">
      <c r="A17" t="s">
        <v>13</v>
      </c>
      <c r="B17" s="9">
        <v>83.106999999999999</v>
      </c>
      <c r="C17" s="10">
        <v>-6486.2</v>
      </c>
      <c r="D17" s="10">
        <v>-9.2194000000000003</v>
      </c>
      <c r="E17" s="10">
        <v>6.9844000000000004E-6</v>
      </c>
      <c r="F17" s="10">
        <v>2</v>
      </c>
      <c r="H17" s="16">
        <v>278.68</v>
      </c>
      <c r="I17" s="16">
        <v>562.04999999999995</v>
      </c>
      <c r="J17">
        <f>H17-273</f>
        <v>5.6800000000000068</v>
      </c>
      <c r="K17">
        <f>I17-273</f>
        <v>289.04999999999995</v>
      </c>
    </row>
    <row r="18" spans="1:11" ht="13.5" thickBot="1" x14ac:dyDescent="0.25">
      <c r="A18" t="s">
        <v>14</v>
      </c>
      <c r="B18" s="9">
        <v>76.944999999999993</v>
      </c>
      <c r="C18" s="10">
        <v>-6729.8</v>
      </c>
      <c r="D18" s="10">
        <v>-8.1790000000000003</v>
      </c>
      <c r="E18" s="10">
        <v>5.3017000000000004E-6</v>
      </c>
      <c r="F18" s="10">
        <v>2</v>
      </c>
      <c r="H18" s="16">
        <v>178.18</v>
      </c>
      <c r="I18" s="16">
        <v>591.75</v>
      </c>
      <c r="J18">
        <f>H18-273</f>
        <v>-94.82</v>
      </c>
      <c r="K18">
        <f>I18-273</f>
        <v>318.75</v>
      </c>
    </row>
    <row r="19" spans="1:11" x14ac:dyDescent="0.2">
      <c r="A19" t="s">
        <v>21</v>
      </c>
      <c r="B19" s="13"/>
      <c r="C19" s="13"/>
      <c r="D19" s="13"/>
      <c r="E19" s="13"/>
      <c r="F19" s="13"/>
    </row>
    <row r="20" spans="1:11" x14ac:dyDescent="0.2">
      <c r="A20" t="s">
        <v>8</v>
      </c>
      <c r="B20" s="1">
        <f>EXP(B17+C17/$B$8+D17*LN($B$8)+E17*$B$8^F17)*760/101325</f>
        <v>877.00764854065483</v>
      </c>
      <c r="C20" t="s">
        <v>4</v>
      </c>
    </row>
    <row r="21" spans="1:11" x14ac:dyDescent="0.2">
      <c r="A21" t="s">
        <v>9</v>
      </c>
      <c r="B21" s="1">
        <f>EXP(B18+C18/$B$8+D18*LN($B$8)+E18*$B$8^F18)*760/101325</f>
        <v>342.58292406855264</v>
      </c>
      <c r="C21" t="s">
        <v>4</v>
      </c>
    </row>
    <row r="22" spans="1:11" x14ac:dyDescent="0.2">
      <c r="B22" s="1"/>
    </row>
    <row r="23" spans="1:11" x14ac:dyDescent="0.2">
      <c r="A23" s="7" t="s">
        <v>31</v>
      </c>
      <c r="B23" s="1"/>
    </row>
    <row r="24" spans="1:11" x14ac:dyDescent="0.2">
      <c r="A24" s="7" t="s">
        <v>32</v>
      </c>
      <c r="B24" s="1"/>
    </row>
    <row r="25" spans="1:11" x14ac:dyDescent="0.2">
      <c r="A25" s="7" t="s">
        <v>33</v>
      </c>
      <c r="B25" s="1"/>
    </row>
    <row r="26" spans="1:11" x14ac:dyDescent="0.2">
      <c r="A26" s="7" t="s">
        <v>47</v>
      </c>
      <c r="B26" s="1"/>
    </row>
    <row r="27" spans="1:11" x14ac:dyDescent="0.2">
      <c r="B27" s="1"/>
    </row>
    <row r="28" spans="1:11" x14ac:dyDescent="0.2">
      <c r="A28" s="37" t="s">
        <v>10</v>
      </c>
      <c r="C28" t="s">
        <v>46</v>
      </c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30" zoomScaleNormal="130" workbookViewId="0"/>
  </sheetViews>
  <sheetFormatPr defaultRowHeight="12.75" x14ac:dyDescent="0.2"/>
  <cols>
    <col min="1" max="5" width="11.28515625" customWidth="1"/>
  </cols>
  <sheetData>
    <row r="1" spans="1:10" ht="18" x14ac:dyDescent="0.25">
      <c r="A1" s="3" t="s">
        <v>53</v>
      </c>
    </row>
    <row r="2" spans="1:10" x14ac:dyDescent="0.2">
      <c r="A2" s="23" t="s">
        <v>36</v>
      </c>
      <c r="B2" s="24"/>
      <c r="C2" s="24"/>
    </row>
    <row r="3" spans="1:10" x14ac:dyDescent="0.2">
      <c r="A3" s="25" t="s">
        <v>23</v>
      </c>
      <c r="B3" s="25">
        <v>0.35</v>
      </c>
      <c r="C3" s="25"/>
    </row>
    <row r="4" spans="1:10" x14ac:dyDescent="0.2">
      <c r="A4" s="25" t="s">
        <v>24</v>
      </c>
      <c r="B4" s="25">
        <f>1-B3</f>
        <v>0.65</v>
      </c>
      <c r="C4" s="25"/>
    </row>
    <row r="5" spans="1:10" x14ac:dyDescent="0.2">
      <c r="A5" s="25" t="s">
        <v>2</v>
      </c>
      <c r="B5" s="25">
        <v>2</v>
      </c>
      <c r="C5" s="25" t="s">
        <v>3</v>
      </c>
    </row>
    <row r="6" spans="1:10" x14ac:dyDescent="0.2">
      <c r="B6">
        <f>760*B5</f>
        <v>1520</v>
      </c>
      <c r="C6" t="s">
        <v>4</v>
      </c>
    </row>
    <row r="7" spans="1:10" x14ac:dyDescent="0.2">
      <c r="A7" t="s">
        <v>5</v>
      </c>
      <c r="B7" s="11">
        <v>122.69945340621335</v>
      </c>
      <c r="C7" t="s">
        <v>6</v>
      </c>
      <c r="D7" s="7" t="s">
        <v>26</v>
      </c>
    </row>
    <row r="8" spans="1:10" x14ac:dyDescent="0.2">
      <c r="B8" s="1">
        <f>B7+273</f>
        <v>395.69945340621337</v>
      </c>
      <c r="C8" t="s">
        <v>7</v>
      </c>
    </row>
    <row r="9" spans="1:10" x14ac:dyDescent="0.2">
      <c r="A9" s="17" t="s">
        <v>15</v>
      </c>
      <c r="B9" s="18"/>
      <c r="C9" s="17"/>
      <c r="D9" s="17"/>
    </row>
    <row r="10" spans="1:10" x14ac:dyDescent="0.2">
      <c r="A10" s="17" t="s">
        <v>8</v>
      </c>
      <c r="B10" s="18">
        <f>10^(6.89272-1203.531/(B7+219.888))</f>
        <v>2396.9440437008598</v>
      </c>
      <c r="C10" s="17" t="s">
        <v>4</v>
      </c>
      <c r="D10" s="17"/>
    </row>
    <row r="11" spans="1:10" x14ac:dyDescent="0.2">
      <c r="A11" s="17" t="s">
        <v>9</v>
      </c>
      <c r="B11" s="18">
        <f>10^(6.95805-1346.773/(B7+219.693))</f>
        <v>1058.3539779966629</v>
      </c>
      <c r="C11" s="17" t="s">
        <v>4</v>
      </c>
      <c r="D11" s="17"/>
    </row>
    <row r="12" spans="1:10" x14ac:dyDescent="0.2">
      <c r="A12" s="17" t="s">
        <v>25</v>
      </c>
      <c r="B12" s="18"/>
      <c r="C12" s="17"/>
      <c r="D12" s="17"/>
    </row>
    <row r="13" spans="1:10" x14ac:dyDescent="0.2">
      <c r="A13" s="17" t="s">
        <v>10</v>
      </c>
      <c r="B13" s="17">
        <f>B6-(B3*B10+B4*B11)</f>
        <v>-6.8605009931318364</v>
      </c>
      <c r="C13" s="17"/>
      <c r="D13" s="17"/>
    </row>
    <row r="14" spans="1:10" x14ac:dyDescent="0.2">
      <c r="A14" s="17"/>
      <c r="B14" s="17" t="s">
        <v>11</v>
      </c>
      <c r="C14" s="17"/>
      <c r="D14" s="17"/>
    </row>
    <row r="16" spans="1:10" ht="13.5" thickBot="1" x14ac:dyDescent="0.25">
      <c r="A16" s="12" t="s">
        <v>12</v>
      </c>
      <c r="B16" s="8" t="s">
        <v>17</v>
      </c>
      <c r="C16" s="8" t="s">
        <v>18</v>
      </c>
      <c r="D16" s="8" t="s">
        <v>6</v>
      </c>
      <c r="E16" s="8" t="s">
        <v>19</v>
      </c>
      <c r="F16" s="8" t="s">
        <v>20</v>
      </c>
      <c r="H16" s="15" t="s">
        <v>35</v>
      </c>
      <c r="J16" t="s">
        <v>34</v>
      </c>
    </row>
    <row r="17" spans="1:11" ht="13.5" thickBot="1" x14ac:dyDescent="0.25">
      <c r="A17" t="s">
        <v>13</v>
      </c>
      <c r="B17" s="9">
        <v>83.106999999999999</v>
      </c>
      <c r="C17" s="10">
        <v>-6486.2</v>
      </c>
      <c r="D17" s="10">
        <v>-9.2194000000000003</v>
      </c>
      <c r="E17" s="10">
        <v>6.9844000000000004E-6</v>
      </c>
      <c r="F17" s="10">
        <v>2</v>
      </c>
      <c r="H17" s="16">
        <v>278.68</v>
      </c>
      <c r="I17" s="16">
        <v>562.04999999999995</v>
      </c>
      <c r="J17">
        <f>H17-273</f>
        <v>5.6800000000000068</v>
      </c>
      <c r="K17">
        <f>I17-273</f>
        <v>289.04999999999995</v>
      </c>
    </row>
    <row r="18" spans="1:11" ht="13.5" thickBot="1" x14ac:dyDescent="0.25">
      <c r="A18" t="s">
        <v>14</v>
      </c>
      <c r="B18" s="9">
        <v>76.944999999999993</v>
      </c>
      <c r="C18" s="10">
        <v>-6729.8</v>
      </c>
      <c r="D18" s="10">
        <v>-8.1790000000000003</v>
      </c>
      <c r="E18" s="10">
        <v>5.3017000000000004E-6</v>
      </c>
      <c r="F18" s="10">
        <v>2</v>
      </c>
      <c r="H18" s="16">
        <v>178.18</v>
      </c>
      <c r="I18" s="16">
        <v>591.75</v>
      </c>
      <c r="J18">
        <f>H18-273</f>
        <v>-94.82</v>
      </c>
      <c r="K18">
        <f>I18-273</f>
        <v>318.75</v>
      </c>
    </row>
    <row r="19" spans="1:11" x14ac:dyDescent="0.2">
      <c r="A19" t="s">
        <v>21</v>
      </c>
      <c r="B19" s="13"/>
      <c r="C19" s="13"/>
      <c r="D19" s="13"/>
      <c r="E19" s="13"/>
      <c r="F19" s="13"/>
    </row>
    <row r="20" spans="1:11" x14ac:dyDescent="0.2">
      <c r="A20" t="s">
        <v>8</v>
      </c>
      <c r="B20" s="1">
        <f>EXP(B17+C17/$B$8+D17*LN($B$8)+E17*$B$8^F17)*760/101325</f>
        <v>2387.6140199040674</v>
      </c>
      <c r="C20" t="s">
        <v>4</v>
      </c>
    </row>
    <row r="21" spans="1:11" x14ac:dyDescent="0.2">
      <c r="A21" t="s">
        <v>9</v>
      </c>
      <c r="B21" s="1">
        <f>EXP(B18+C18/$B$8+D18*LN($B$8)+E18*$B$8^F18)*760/101325</f>
        <v>1052.8232202324848</v>
      </c>
      <c r="C21" t="s">
        <v>4</v>
      </c>
    </row>
    <row r="22" spans="1:11" x14ac:dyDescent="0.2">
      <c r="B22" s="1"/>
    </row>
    <row r="23" spans="1:11" x14ac:dyDescent="0.2">
      <c r="A23" s="7" t="s">
        <v>31</v>
      </c>
      <c r="B23" s="1"/>
    </row>
    <row r="24" spans="1:11" x14ac:dyDescent="0.2">
      <c r="A24" s="7" t="s">
        <v>32</v>
      </c>
      <c r="B24" s="1"/>
    </row>
    <row r="25" spans="1:11" x14ac:dyDescent="0.2">
      <c r="A25" s="7" t="s">
        <v>33</v>
      </c>
      <c r="B25" s="1"/>
    </row>
    <row r="26" spans="1:11" x14ac:dyDescent="0.2">
      <c r="A26" s="7" t="s">
        <v>47</v>
      </c>
      <c r="B26" s="1"/>
    </row>
    <row r="27" spans="1:11" x14ac:dyDescent="0.2">
      <c r="B27" s="1"/>
    </row>
    <row r="28" spans="1:11" x14ac:dyDescent="0.2">
      <c r="A28" t="s">
        <v>10</v>
      </c>
      <c r="B28">
        <f>1-(B3*B20+B4*B21)/B6</f>
        <v>-7.7328143888166778E-11</v>
      </c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30" zoomScaleNormal="130" workbookViewId="0"/>
  </sheetViews>
  <sheetFormatPr defaultRowHeight="12.75" x14ac:dyDescent="0.2"/>
  <cols>
    <col min="1" max="5" width="11.28515625" customWidth="1"/>
  </cols>
  <sheetData>
    <row r="1" spans="1:11" ht="18" x14ac:dyDescent="0.25">
      <c r="A1" s="3" t="s">
        <v>54</v>
      </c>
    </row>
    <row r="2" spans="1:11" x14ac:dyDescent="0.2">
      <c r="A2" s="23" t="s">
        <v>36</v>
      </c>
      <c r="B2" s="24"/>
      <c r="C2" s="24"/>
    </row>
    <row r="3" spans="1:11" x14ac:dyDescent="0.2">
      <c r="A3" s="25" t="s">
        <v>23</v>
      </c>
      <c r="B3" s="25">
        <v>0.35</v>
      </c>
      <c r="C3" s="25"/>
    </row>
    <row r="4" spans="1:11" x14ac:dyDescent="0.2">
      <c r="A4" s="25" t="s">
        <v>24</v>
      </c>
      <c r="B4" s="25">
        <f>1-B3</f>
        <v>0.65</v>
      </c>
      <c r="C4" s="25"/>
    </row>
    <row r="5" spans="1:11" x14ac:dyDescent="0.2">
      <c r="A5" s="25" t="s">
        <v>5</v>
      </c>
      <c r="B5" s="26">
        <v>250</v>
      </c>
      <c r="C5" s="25" t="s">
        <v>6</v>
      </c>
      <c r="D5" s="7" t="s">
        <v>37</v>
      </c>
    </row>
    <row r="6" spans="1:11" x14ac:dyDescent="0.2">
      <c r="B6" s="1">
        <f>B5+273</f>
        <v>523</v>
      </c>
      <c r="C6" t="s">
        <v>7</v>
      </c>
    </row>
    <row r="7" spans="1:11" x14ac:dyDescent="0.2">
      <c r="A7" s="17" t="s">
        <v>15</v>
      </c>
      <c r="B7" s="18"/>
      <c r="C7" s="17"/>
      <c r="D7" s="17"/>
    </row>
    <row r="8" spans="1:11" x14ac:dyDescent="0.2">
      <c r="A8" s="17" t="s">
        <v>8</v>
      </c>
      <c r="B8" s="18">
        <f>10^(6.89272-1203.531/(B5+219.888))</f>
        <v>21448.917997994671</v>
      </c>
      <c r="C8" s="17" t="s">
        <v>4</v>
      </c>
      <c r="D8" s="17"/>
    </row>
    <row r="9" spans="1:11" x14ac:dyDescent="0.2">
      <c r="A9" s="17" t="s">
        <v>9</v>
      </c>
      <c r="B9" s="18">
        <f>10^(6.95805-1346.773/(B5+219.693))</f>
        <v>12322.607200844663</v>
      </c>
      <c r="C9" s="17" t="s">
        <v>4</v>
      </c>
      <c r="D9" s="17"/>
    </row>
    <row r="10" spans="1:11" x14ac:dyDescent="0.2">
      <c r="A10" s="17" t="s">
        <v>25</v>
      </c>
      <c r="B10" s="18"/>
      <c r="C10" s="17"/>
      <c r="D10" s="17"/>
    </row>
    <row r="11" spans="1:11" x14ac:dyDescent="0.2">
      <c r="A11" s="17" t="s">
        <v>10</v>
      </c>
      <c r="B11" s="17" t="e">
        <f>#REF!-(B3*B8+B4*B9)</f>
        <v>#REF!</v>
      </c>
      <c r="C11" s="17"/>
      <c r="D11" s="17"/>
    </row>
    <row r="12" spans="1:11" x14ac:dyDescent="0.2">
      <c r="A12" s="17"/>
      <c r="B12" s="17" t="s">
        <v>11</v>
      </c>
      <c r="C12" s="17"/>
      <c r="D12" s="17"/>
    </row>
    <row r="14" spans="1:11" ht="13.5" thickBot="1" x14ac:dyDescent="0.25">
      <c r="A14" s="12" t="s">
        <v>12</v>
      </c>
      <c r="B14" s="8" t="s">
        <v>17</v>
      </c>
      <c r="C14" s="8" t="s">
        <v>18</v>
      </c>
      <c r="D14" s="8" t="s">
        <v>6</v>
      </c>
      <c r="E14" s="8" t="s">
        <v>19</v>
      </c>
      <c r="F14" s="8" t="s">
        <v>20</v>
      </c>
      <c r="H14" s="15" t="s">
        <v>35</v>
      </c>
      <c r="J14" t="s">
        <v>34</v>
      </c>
    </row>
    <row r="15" spans="1:11" ht="13.5" thickBot="1" x14ac:dyDescent="0.25">
      <c r="A15" t="s">
        <v>13</v>
      </c>
      <c r="B15" s="9">
        <v>83.106999999999999</v>
      </c>
      <c r="C15" s="10">
        <v>-6486.2</v>
      </c>
      <c r="D15" s="10">
        <v>-9.2194000000000003</v>
      </c>
      <c r="E15" s="10">
        <v>6.9844000000000004E-6</v>
      </c>
      <c r="F15" s="10">
        <v>2</v>
      </c>
      <c r="H15" s="16">
        <v>278.68</v>
      </c>
      <c r="I15" s="16">
        <v>562.04999999999995</v>
      </c>
      <c r="J15">
        <f>H15-273</f>
        <v>5.6800000000000068</v>
      </c>
      <c r="K15">
        <f>I15-273</f>
        <v>289.04999999999995</v>
      </c>
    </row>
    <row r="16" spans="1:11" ht="13.5" thickBot="1" x14ac:dyDescent="0.25">
      <c r="A16" t="s">
        <v>14</v>
      </c>
      <c r="B16" s="9">
        <v>76.944999999999993</v>
      </c>
      <c r="C16" s="10">
        <v>-6729.8</v>
      </c>
      <c r="D16" s="10">
        <v>-8.1790000000000003</v>
      </c>
      <c r="E16" s="10">
        <v>5.3017000000000004E-6</v>
      </c>
      <c r="F16" s="10">
        <v>2</v>
      </c>
      <c r="H16" s="16">
        <v>178.18</v>
      </c>
      <c r="I16" s="16">
        <v>591.75</v>
      </c>
      <c r="J16">
        <f>H16-273</f>
        <v>-94.82</v>
      </c>
      <c r="K16">
        <f>I16-273</f>
        <v>318.75</v>
      </c>
    </row>
    <row r="17" spans="1:6" x14ac:dyDescent="0.2">
      <c r="A17" t="s">
        <v>21</v>
      </c>
      <c r="B17" s="13"/>
      <c r="C17" s="13"/>
      <c r="D17" s="13"/>
      <c r="E17" s="13"/>
      <c r="F17" s="13"/>
    </row>
    <row r="18" spans="1:6" x14ac:dyDescent="0.2">
      <c r="A18" t="s">
        <v>8</v>
      </c>
      <c r="B18" s="1">
        <f>EXP(B15+C15/$B$6+D15*LN($B$6)+E15*$B$6^F15)*760/101325</f>
        <v>22318.440270389419</v>
      </c>
      <c r="C18" t="s">
        <v>4</v>
      </c>
    </row>
    <row r="19" spans="1:6" x14ac:dyDescent="0.2">
      <c r="A19" t="s">
        <v>9</v>
      </c>
      <c r="B19" s="1">
        <f>EXP(B16+C16/$B$6+D16*LN($B$6)+E16*$B$6^F16)*760/101325</f>
        <v>12551.500033795646</v>
      </c>
      <c r="C19" t="s">
        <v>4</v>
      </c>
    </row>
    <row r="20" spans="1:6" x14ac:dyDescent="0.2">
      <c r="B20" s="1"/>
    </row>
    <row r="21" spans="1:6" x14ac:dyDescent="0.2">
      <c r="A21" s="7" t="s">
        <v>40</v>
      </c>
      <c r="B21" s="1"/>
    </row>
    <row r="22" spans="1:6" x14ac:dyDescent="0.2">
      <c r="A22" s="31" t="s">
        <v>41</v>
      </c>
      <c r="B22" s="35">
        <f>B3*B18+B4*B19</f>
        <v>15969.929116603467</v>
      </c>
      <c r="C22" s="31" t="s">
        <v>4</v>
      </c>
    </row>
    <row r="23" spans="1:6" x14ac:dyDescent="0.2">
      <c r="A23" s="31"/>
      <c r="B23" s="35">
        <f>B22/760</f>
        <v>21.013064627109824</v>
      </c>
      <c r="C23" s="31" t="s">
        <v>3</v>
      </c>
    </row>
    <row r="24" spans="1:6" x14ac:dyDescent="0.2">
      <c r="A24" s="7" t="s">
        <v>42</v>
      </c>
      <c r="B24" s="34"/>
    </row>
    <row r="25" spans="1:6" x14ac:dyDescent="0.2">
      <c r="A25" s="31" t="s">
        <v>43</v>
      </c>
      <c r="B25" s="36">
        <f>B3*B18/B22</f>
        <v>0.48913517634307818</v>
      </c>
    </row>
    <row r="26" spans="1:6" x14ac:dyDescent="0.2">
      <c r="A26" s="31" t="s">
        <v>44</v>
      </c>
      <c r="B26" s="36">
        <f>1-B25</f>
        <v>0.51086482365692176</v>
      </c>
    </row>
  </sheetData>
  <phoneticPr fontId="1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Blank-Dew</vt:lpstr>
      <vt:lpstr>Antoine</vt:lpstr>
      <vt:lpstr>DIPPR</vt:lpstr>
      <vt:lpstr>DP Pressure</vt:lpstr>
      <vt:lpstr>Blank-Bubble</vt:lpstr>
      <vt:lpstr>Bubble</vt:lpstr>
      <vt:lpstr>BP Pressure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Fletcher</cp:lastModifiedBy>
  <cp:lastPrinted>2016-02-19T16:39:36Z</cp:lastPrinted>
  <dcterms:created xsi:type="dcterms:W3CDTF">2006-02-22T20:08:55Z</dcterms:created>
  <dcterms:modified xsi:type="dcterms:W3CDTF">2016-02-19T16:39:55Z</dcterms:modified>
</cp:coreProperties>
</file>