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embeddings/oleObject2.bin" ContentType="application/vnd.openxmlformats-officedocument.oleObject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embeddings/oleObject3.bin" ContentType="application/vnd.openxmlformats-officedocument.oleObject"/>
  <Override PartName="/xl/drawings/drawing9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ocuments\classes\ChE 733\Classes\2022\Class13(Char1)\"/>
    </mc:Choice>
  </mc:AlternateContent>
  <xr:revisionPtr revIDLastSave="0" documentId="13_ncr:1_{3AADAB9C-50BD-47A7-A663-99CB9FDA5E39}" xr6:coauthVersionLast="47" xr6:coauthVersionMax="47" xr10:uidLastSave="{00000000-0000-0000-0000-000000000000}"/>
  <bookViews>
    <workbookView xWindow="-19310" yWindow="-110" windowWidth="19420" windowHeight="10420" tabRatio="517" firstSheet="1" activeTab="6" xr2:uid="{00000000-000D-0000-FFFF-FFFF00000000}"/>
  </bookViews>
  <sheets>
    <sheet name="New Units" sheetId="1" r:id="rId1"/>
    <sheet name="Orig units" sheetId="2" r:id="rId2"/>
    <sheet name="1400 K" sheetId="4" r:id="rId3"/>
    <sheet name="21% O2" sheetId="5" r:id="rId4"/>
    <sheet name="10 atm" sheetId="6" r:id="rId5"/>
    <sheet name="Tg=1800" sheetId="8" r:id="rId6"/>
    <sheet name="Tg=1800(new)" sheetId="9" r:id="rId7"/>
    <sheet name="Max Diff rate &amp; T" sheetId="11" r:id="rId8"/>
    <sheet name="Changing Tg" sheetId="10" r:id="rId9"/>
  </sheets>
  <definedNames>
    <definedName name="solver_adj" localSheetId="4" hidden="1">'10 atm'!$B$13</definedName>
    <definedName name="solver_adj" localSheetId="2" hidden="1">'1400 K'!$B$10:$B$14</definedName>
    <definedName name="solver_adj" localSheetId="3" hidden="1">'21% O2'!$B$10:$B$14</definedName>
    <definedName name="solver_adj" localSheetId="8" hidden="1">'Changing Tg'!$B$21,'Changing Tg'!$D$21</definedName>
    <definedName name="solver_adj" localSheetId="7" hidden="1">'Max Diff rate &amp; T'!$B$21</definedName>
    <definedName name="solver_adj" localSheetId="0" hidden="1">'New Units'!$B$10:$B$14</definedName>
    <definedName name="solver_adj" localSheetId="1" hidden="1">'Orig units'!$B$14</definedName>
    <definedName name="solver_adj" localSheetId="5" hidden="1">'Tg=1800'!$D$38:$D$41</definedName>
    <definedName name="solver_adj" localSheetId="6" hidden="1">'Tg=1800(new)'!$B$20,'Tg=1800(new)'!$D$20</definedName>
    <definedName name="solver_cvg" localSheetId="4" hidden="1">0.0001</definedName>
    <definedName name="solver_cvg" localSheetId="2" hidden="1">0.0001</definedName>
    <definedName name="solver_cvg" localSheetId="3" hidden="1">0.0001</definedName>
    <definedName name="solver_cvg" localSheetId="8" hidden="1">0.0001</definedName>
    <definedName name="solver_cvg" localSheetId="7" hidden="1">0.0001</definedName>
    <definedName name="solver_cvg" localSheetId="0" hidden="1">0.0001</definedName>
    <definedName name="solver_cvg" localSheetId="1" hidden="1">0.0001</definedName>
    <definedName name="solver_cvg" localSheetId="5" hidden="1">0.0001</definedName>
    <definedName name="solver_cvg" localSheetId="6" hidden="1">0.0001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drv" localSheetId="8" hidden="1">2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drv" localSheetId="5" hidden="1">1</definedName>
    <definedName name="solver_drv" localSheetId="6" hidden="1">1</definedName>
    <definedName name="solver_eng" localSheetId="4" hidden="1">1</definedName>
    <definedName name="solver_eng" localSheetId="2" hidden="1">1</definedName>
    <definedName name="solver_eng" localSheetId="8" hidden="1">1</definedName>
    <definedName name="solver_eng" localSheetId="7" hidden="1">1</definedName>
    <definedName name="solver_eng" localSheetId="0" hidden="1">1</definedName>
    <definedName name="solver_eng" localSheetId="1" hidden="1">1</definedName>
    <definedName name="solver_eng" localSheetId="5" hidden="1">1</definedName>
    <definedName name="solver_eng" localSheetId="6" hidden="1">1</definedName>
    <definedName name="solver_est" localSheetId="4" hidden="1">1</definedName>
    <definedName name="solver_est" localSheetId="2" hidden="1">1</definedName>
    <definedName name="solver_est" localSheetId="3" hidden="1">1</definedName>
    <definedName name="solver_est" localSheetId="8" hidden="1">1</definedName>
    <definedName name="solver_est" localSheetId="7" hidden="1">1</definedName>
    <definedName name="solver_est" localSheetId="0" hidden="1">2</definedName>
    <definedName name="solver_est" localSheetId="1" hidden="1">1</definedName>
    <definedName name="solver_est" localSheetId="5" hidden="1">1</definedName>
    <definedName name="solver_est" localSheetId="6" hidden="1">1</definedName>
    <definedName name="solver_itr" localSheetId="4" hidden="1">100</definedName>
    <definedName name="solver_itr" localSheetId="2" hidden="1">100</definedName>
    <definedName name="solver_itr" localSheetId="3" hidden="1">100</definedName>
    <definedName name="solver_itr" localSheetId="8" hidden="1">2147483647</definedName>
    <definedName name="solver_itr" localSheetId="7" hidden="1">2147483647</definedName>
    <definedName name="solver_itr" localSheetId="0" hidden="1">100</definedName>
    <definedName name="solver_itr" localSheetId="1" hidden="1">100</definedName>
    <definedName name="solver_itr" localSheetId="5" hidden="1">100</definedName>
    <definedName name="solver_itr" localSheetId="6" hidden="1">2147483647</definedName>
    <definedName name="solver_lhs1" localSheetId="4" hidden="1">'10 atm'!$B$13</definedName>
    <definedName name="solver_lhs1" localSheetId="3" hidden="1">'21% O2'!$B$10:$B$14</definedName>
    <definedName name="solver_lhs1" localSheetId="8" hidden="1">'Changing Tg'!$D$17</definedName>
    <definedName name="solver_lhs1" localSheetId="0" hidden="1">'New Units'!$B$13</definedName>
    <definedName name="solver_lhs1" localSheetId="1" hidden="1">'Orig units'!$B$14</definedName>
    <definedName name="solver_lhs1" localSheetId="5" hidden="1">'Tg=1800'!$D$38:$D$41</definedName>
    <definedName name="solver_lhs1" localSheetId="6" hidden="1">'Tg=1800(new)'!$D$20</definedName>
    <definedName name="solver_lhs2" localSheetId="8" hidden="1">'Changing Tg'!$D$18</definedName>
    <definedName name="solver_lhs2" localSheetId="0" hidden="1">'New Units'!$B$10</definedName>
    <definedName name="solver_lhs2" localSheetId="1" hidden="1">'Orig units'!$E$11</definedName>
    <definedName name="solver_lhs2" localSheetId="5" hidden="1">'Tg=1800'!$R$20</definedName>
    <definedName name="solver_lhs3" localSheetId="8" hidden="1">'Changing Tg'!$D$19</definedName>
    <definedName name="solver_lhs3" localSheetId="0" hidden="1">'New Units'!$B$11</definedName>
    <definedName name="solver_lhs3" localSheetId="1" hidden="1">'Orig units'!$E$11</definedName>
    <definedName name="solver_lhs4" localSheetId="8" hidden="1">'Changing Tg'!$D$20</definedName>
    <definedName name="solver_lhs4" localSheetId="0" hidden="1">'New Units'!$B$12</definedName>
    <definedName name="solver_lhs5" localSheetId="8" hidden="1">'Changing Tg'!$D$21</definedName>
    <definedName name="solver_lhs5" localSheetId="0" hidden="1">'New Units'!$B$14</definedName>
    <definedName name="solver_lin" localSheetId="4" hidden="1">2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lin" localSheetId="1" hidden="1">2</definedName>
    <definedName name="solver_lin" localSheetId="5" hidden="1">2</definedName>
    <definedName name="solver_mip" localSheetId="4" hidden="1">2147483647</definedName>
    <definedName name="solver_mip" localSheetId="8" hidden="1">2147483647</definedName>
    <definedName name="solver_mip" localSheetId="7" hidden="1">2147483647</definedName>
    <definedName name="solver_mip" localSheetId="1" hidden="1">2147483647</definedName>
    <definedName name="solver_mip" localSheetId="6" hidden="1">2147483647</definedName>
    <definedName name="solver_mni" localSheetId="4" hidden="1">30</definedName>
    <definedName name="solver_mni" localSheetId="8" hidden="1">30</definedName>
    <definedName name="solver_mni" localSheetId="7" hidden="1">30</definedName>
    <definedName name="solver_mni" localSheetId="1" hidden="1">30</definedName>
    <definedName name="solver_mni" localSheetId="6" hidden="1">30</definedName>
    <definedName name="solver_mrt" localSheetId="4" hidden="1">0.075</definedName>
    <definedName name="solver_mrt" localSheetId="8" hidden="1">0.075</definedName>
    <definedName name="solver_mrt" localSheetId="7" hidden="1">0.075</definedName>
    <definedName name="solver_mrt" localSheetId="1" hidden="1">0.075</definedName>
    <definedName name="solver_mrt" localSheetId="6" hidden="1">0.075</definedName>
    <definedName name="solver_msl" localSheetId="4" hidden="1">2</definedName>
    <definedName name="solver_msl" localSheetId="8" hidden="1">2</definedName>
    <definedName name="solver_msl" localSheetId="7" hidden="1">2</definedName>
    <definedName name="solver_msl" localSheetId="1" hidden="1">2</definedName>
    <definedName name="solver_msl" localSheetId="6" hidden="1">2</definedName>
    <definedName name="solver_neg" localSheetId="4" hidden="1">2</definedName>
    <definedName name="solver_neg" localSheetId="2" hidden="1">2</definedName>
    <definedName name="solver_neg" localSheetId="3" hidden="1">2</definedName>
    <definedName name="solver_neg" localSheetId="8" hidden="1">1</definedName>
    <definedName name="solver_neg" localSheetId="7" hidden="1">1</definedName>
    <definedName name="solver_neg" localSheetId="0" hidden="1">1</definedName>
    <definedName name="solver_neg" localSheetId="1" hidden="1">2</definedName>
    <definedName name="solver_neg" localSheetId="5" hidden="1">2</definedName>
    <definedName name="solver_neg" localSheetId="6" hidden="1">1</definedName>
    <definedName name="solver_nod" localSheetId="4" hidden="1">2147483647</definedName>
    <definedName name="solver_nod" localSheetId="8" hidden="1">2147483647</definedName>
    <definedName name="solver_nod" localSheetId="7" hidden="1">2147483647</definedName>
    <definedName name="solver_nod" localSheetId="1" hidden="1">2147483647</definedName>
    <definedName name="solver_nod" localSheetId="6" hidden="1">2147483647</definedName>
    <definedName name="solver_num" localSheetId="4" hidden="1">1</definedName>
    <definedName name="solver_num" localSheetId="2" hidden="1">0</definedName>
    <definedName name="solver_num" localSheetId="3" hidden="1">1</definedName>
    <definedName name="solver_num" localSheetId="8" hidden="1">5</definedName>
    <definedName name="solver_num" localSheetId="7" hidden="1">0</definedName>
    <definedName name="solver_num" localSheetId="0" hidden="1">5</definedName>
    <definedName name="solver_num" localSheetId="1" hidden="1">1</definedName>
    <definedName name="solver_num" localSheetId="5" hidden="1">1</definedName>
    <definedName name="solver_num" localSheetId="6" hidden="1">1</definedName>
    <definedName name="solver_nwt" localSheetId="4" hidden="1">1</definedName>
    <definedName name="solver_nwt" localSheetId="2" hidden="1">1</definedName>
    <definedName name="solver_nwt" localSheetId="3" hidden="1">1</definedName>
    <definedName name="solver_nwt" localSheetId="8" hidden="1">1</definedName>
    <definedName name="solver_nwt" localSheetId="7" hidden="1">1</definedName>
    <definedName name="solver_nwt" localSheetId="0" hidden="1">1</definedName>
    <definedName name="solver_nwt" localSheetId="1" hidden="1">1</definedName>
    <definedName name="solver_nwt" localSheetId="5" hidden="1">1</definedName>
    <definedName name="solver_nwt" localSheetId="6" hidden="1">1</definedName>
    <definedName name="solver_opt" localSheetId="4" hidden="1">'10 atm'!$G$13</definedName>
    <definedName name="solver_opt" localSheetId="2" hidden="1">'1400 K'!$G$15</definedName>
    <definedName name="solver_opt" localSheetId="3" hidden="1">'21% O2'!$G$15</definedName>
    <definedName name="solver_opt" localSheetId="8" hidden="1">'Changing Tg'!$S$21</definedName>
    <definedName name="solver_opt" localSheetId="7" hidden="1">'Max Diff rate &amp; T'!$S$21</definedName>
    <definedName name="solver_opt" localSheetId="0" hidden="1">'New Units'!$G$15</definedName>
    <definedName name="solver_opt" localSheetId="1" hidden="1">'Orig units'!$G$14</definedName>
    <definedName name="solver_opt" localSheetId="5" hidden="1">'Tg=1800'!$I$42</definedName>
    <definedName name="solver_opt" localSheetId="6" hidden="1">'Tg=1800(new)'!$S$20</definedName>
    <definedName name="solver_pre" localSheetId="4" hidden="1">0.000001</definedName>
    <definedName name="solver_pre" localSheetId="2" hidden="1">0.000001</definedName>
    <definedName name="solver_pre" localSheetId="3" hidden="1">0.000001</definedName>
    <definedName name="solver_pre" localSheetId="8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pre" localSheetId="5" hidden="1">0.000001</definedName>
    <definedName name="solver_pre" localSheetId="6" hidden="1">0.000001</definedName>
    <definedName name="solver_rbv" localSheetId="4" hidden="1">1</definedName>
    <definedName name="solver_rbv" localSheetId="8" hidden="1">2</definedName>
    <definedName name="solver_rbv" localSheetId="7" hidden="1">1</definedName>
    <definedName name="solver_rbv" localSheetId="1" hidden="1">1</definedName>
    <definedName name="solver_rbv" localSheetId="6" hidden="1">1</definedName>
    <definedName name="solver_rel1" localSheetId="4" hidden="1">3</definedName>
    <definedName name="solver_rel1" localSheetId="3" hidden="1">3</definedName>
    <definedName name="solver_rel1" localSheetId="8" hidden="1">3</definedName>
    <definedName name="solver_rel1" localSheetId="0" hidden="1">3</definedName>
    <definedName name="solver_rel1" localSheetId="1" hidden="1">3</definedName>
    <definedName name="solver_rel1" localSheetId="5" hidden="1">3</definedName>
    <definedName name="solver_rel1" localSheetId="6" hidden="1">3</definedName>
    <definedName name="solver_rel2" localSheetId="8" hidden="1">3</definedName>
    <definedName name="solver_rel2" localSheetId="0" hidden="1">3</definedName>
    <definedName name="solver_rel2" localSheetId="1" hidden="1">1</definedName>
    <definedName name="solver_rel2" localSheetId="5" hidden="1">2</definedName>
    <definedName name="solver_rel3" localSheetId="8" hidden="1">3</definedName>
    <definedName name="solver_rel3" localSheetId="0" hidden="1">3</definedName>
    <definedName name="solver_rel3" localSheetId="1" hidden="1">1</definedName>
    <definedName name="solver_rel4" localSheetId="8" hidden="1">3</definedName>
    <definedName name="solver_rel4" localSheetId="0" hidden="1">3</definedName>
    <definedName name="solver_rel5" localSheetId="8" hidden="1">3</definedName>
    <definedName name="solver_rel5" localSheetId="0" hidden="1">3</definedName>
    <definedName name="solver_rhs1" localSheetId="4" hidden="1">0.000000001</definedName>
    <definedName name="solver_rhs1" localSheetId="3" hidden="1">0.0000001</definedName>
    <definedName name="solver_rhs1" localSheetId="8" hidden="1">0.000001</definedName>
    <definedName name="solver_rhs1" localSheetId="0" hidden="1">1E-30</definedName>
    <definedName name="solver_rhs1" localSheetId="1" hidden="1">0.000001</definedName>
    <definedName name="solver_rhs1" localSheetId="5" hidden="1">0.000001</definedName>
    <definedName name="solver_rhs1" localSheetId="6" hidden="1">0.000001</definedName>
    <definedName name="solver_rhs2" localSheetId="8" hidden="1">0.000001</definedName>
    <definedName name="solver_rhs2" localSheetId="0" hidden="1">1E-30</definedName>
    <definedName name="solver_rhs2" localSheetId="1" hidden="1">'Orig units'!$F$11</definedName>
    <definedName name="solver_rhs2" localSheetId="5" hidden="1">0</definedName>
    <definedName name="solver_rhs3" localSheetId="8" hidden="1">0.000001</definedName>
    <definedName name="solver_rhs3" localSheetId="0" hidden="1">1E-30</definedName>
    <definedName name="solver_rhs3" localSheetId="1" hidden="1">'Orig units'!$F$11</definedName>
    <definedName name="solver_rhs4" localSheetId="8" hidden="1">0.000001</definedName>
    <definedName name="solver_rhs4" localSheetId="0" hidden="1">1E-30</definedName>
    <definedName name="solver_rhs5" localSheetId="8" hidden="1">0.000001</definedName>
    <definedName name="solver_rhs5" localSheetId="0" hidden="1">1E-30</definedName>
    <definedName name="solver_rlx" localSheetId="4" hidden="1">1</definedName>
    <definedName name="solver_rlx" localSheetId="8" hidden="1">2</definedName>
    <definedName name="solver_rlx" localSheetId="7" hidden="1">2</definedName>
    <definedName name="solver_rlx" localSheetId="1" hidden="1">1</definedName>
    <definedName name="solver_rlx" localSheetId="6" hidden="1">2</definedName>
    <definedName name="solver_rsd" localSheetId="4" hidden="1">0</definedName>
    <definedName name="solver_rsd" localSheetId="8" hidden="1">0</definedName>
    <definedName name="solver_rsd" localSheetId="7" hidden="1">0</definedName>
    <definedName name="solver_rsd" localSheetId="1" hidden="1">0</definedName>
    <definedName name="solver_rsd" localSheetId="6" hidden="1">0</definedName>
    <definedName name="solver_scl" localSheetId="4" hidden="1">2</definedName>
    <definedName name="solver_scl" localSheetId="2" hidden="1">2</definedName>
    <definedName name="solver_scl" localSheetId="3" hidden="1">2</definedName>
    <definedName name="solver_scl" localSheetId="8" hidden="1">2</definedName>
    <definedName name="solver_scl" localSheetId="7" hidden="1">1</definedName>
    <definedName name="solver_scl" localSheetId="0" hidden="1">2</definedName>
    <definedName name="solver_scl" localSheetId="1" hidden="1">2</definedName>
    <definedName name="solver_scl" localSheetId="5" hidden="1">2</definedName>
    <definedName name="solver_scl" localSheetId="6" hidden="1">1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ho" localSheetId="8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sho" localSheetId="5" hidden="1">2</definedName>
    <definedName name="solver_sho" localSheetId="6" hidden="1">2</definedName>
    <definedName name="solver_ssz" localSheetId="4" hidden="1">100</definedName>
    <definedName name="solver_ssz" localSheetId="8" hidden="1">100</definedName>
    <definedName name="solver_ssz" localSheetId="7" hidden="1">100</definedName>
    <definedName name="solver_ssz" localSheetId="1" hidden="1">100</definedName>
    <definedName name="solver_ssz" localSheetId="6" hidden="1">100</definedName>
    <definedName name="solver_tim" localSheetId="4" hidden="1">100</definedName>
    <definedName name="solver_tim" localSheetId="2" hidden="1">100</definedName>
    <definedName name="solver_tim" localSheetId="3" hidden="1">100</definedName>
    <definedName name="solver_tim" localSheetId="8" hidden="1">2147483647</definedName>
    <definedName name="solver_tim" localSheetId="7" hidden="1">2147483647</definedName>
    <definedName name="solver_tim" localSheetId="0" hidden="1">100</definedName>
    <definedName name="solver_tim" localSheetId="1" hidden="1">100</definedName>
    <definedName name="solver_tim" localSheetId="5" hidden="1">100</definedName>
    <definedName name="solver_tim" localSheetId="6" hidden="1">2147483647</definedName>
    <definedName name="solver_tol" localSheetId="4" hidden="1">0.05</definedName>
    <definedName name="solver_tol" localSheetId="2" hidden="1">0.05</definedName>
    <definedName name="solver_tol" localSheetId="3" hidden="1">0.05</definedName>
    <definedName name="solver_tol" localSheetId="8" hidden="1">0.01</definedName>
    <definedName name="solver_tol" localSheetId="7" hidden="1">0.01</definedName>
    <definedName name="solver_tol" localSheetId="0" hidden="1">0.05</definedName>
    <definedName name="solver_tol" localSheetId="1" hidden="1">0.05</definedName>
    <definedName name="solver_tol" localSheetId="5" hidden="1">0.05</definedName>
    <definedName name="solver_tol" localSheetId="6" hidden="1">0.01</definedName>
    <definedName name="solver_typ" localSheetId="4" hidden="1">3</definedName>
    <definedName name="solver_typ" localSheetId="2" hidden="1">3</definedName>
    <definedName name="solver_typ" localSheetId="3" hidden="1">3</definedName>
    <definedName name="solver_typ" localSheetId="8" hidden="1">2</definedName>
    <definedName name="solver_typ" localSheetId="7" hidden="1">2</definedName>
    <definedName name="solver_typ" localSheetId="0" hidden="1">3</definedName>
    <definedName name="solver_typ" localSheetId="1" hidden="1">2</definedName>
    <definedName name="solver_typ" localSheetId="5" hidden="1">3</definedName>
    <definedName name="solver_typ" localSheetId="6" hidden="1">2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al" localSheetId="8" hidden="1">0</definedName>
    <definedName name="solver_val" localSheetId="7" hidden="1">0</definedName>
    <definedName name="solver_val" localSheetId="0" hidden="1">0</definedName>
    <definedName name="solver_val" localSheetId="1" hidden="1">0</definedName>
    <definedName name="solver_val" localSheetId="5" hidden="1">0</definedName>
    <definedName name="solver_val" localSheetId="6" hidden="1">0</definedName>
    <definedName name="solver_ver" localSheetId="4" hidden="1">3</definedName>
    <definedName name="solver_ver" localSheetId="2" hidden="1">3</definedName>
    <definedName name="solver_ver" localSheetId="8" hidden="1">3</definedName>
    <definedName name="solver_ver" localSheetId="7" hidden="1">3</definedName>
    <definedName name="solver_ver" localSheetId="0" hidden="1">3</definedName>
    <definedName name="solver_ver" localSheetId="1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9" l="1"/>
  <c r="B5" i="9"/>
  <c r="B8" i="6"/>
  <c r="F11" i="2"/>
  <c r="F12" i="2"/>
  <c r="F13" i="2"/>
  <c r="F14" i="2"/>
  <c r="F10" i="2"/>
  <c r="G21" i="10"/>
  <c r="H20" i="11"/>
  <c r="A32" i="11" l="1"/>
  <c r="A33" i="11" s="1"/>
  <c r="A34" i="11" s="1"/>
  <c r="A35" i="11" s="1"/>
  <c r="J29" i="11"/>
  <c r="J28" i="11"/>
  <c r="J27" i="11"/>
  <c r="J26" i="11"/>
  <c r="J25" i="11"/>
  <c r="J21" i="11"/>
  <c r="J20" i="11"/>
  <c r="J19" i="11"/>
  <c r="J18" i="11"/>
  <c r="A18" i="11"/>
  <c r="A19" i="11" s="1"/>
  <c r="K17" i="11"/>
  <c r="L17" i="11" s="1"/>
  <c r="J17" i="11"/>
  <c r="C17" i="11"/>
  <c r="E17" i="11" s="1"/>
  <c r="F17" i="11" s="1"/>
  <c r="G17" i="11" s="1"/>
  <c r="B15" i="11"/>
  <c r="N19" i="11" s="1"/>
  <c r="B11" i="11"/>
  <c r="B6" i="11"/>
  <c r="B7" i="11" s="1"/>
  <c r="B5" i="11"/>
  <c r="D5" i="11" s="1"/>
  <c r="N21" i="10"/>
  <c r="M21" i="10"/>
  <c r="K21" i="10"/>
  <c r="F21" i="10"/>
  <c r="E21" i="10"/>
  <c r="E17" i="10"/>
  <c r="A32" i="10"/>
  <c r="A33" i="10" s="1"/>
  <c r="A34" i="10" s="1"/>
  <c r="A35" i="10" s="1"/>
  <c r="J29" i="10"/>
  <c r="J28" i="10"/>
  <c r="J27" i="10"/>
  <c r="J26" i="10"/>
  <c r="J25" i="10"/>
  <c r="J21" i="10"/>
  <c r="N20" i="10"/>
  <c r="J20" i="10"/>
  <c r="J19" i="10"/>
  <c r="A19" i="10"/>
  <c r="C19" i="10" s="1"/>
  <c r="J18" i="10"/>
  <c r="C18" i="10"/>
  <c r="K18" i="10" s="1"/>
  <c r="L18" i="10" s="1"/>
  <c r="A18" i="10"/>
  <c r="N17" i="10"/>
  <c r="J17" i="10"/>
  <c r="F17" i="10"/>
  <c r="G17" i="10" s="1"/>
  <c r="C17" i="10"/>
  <c r="K17" i="10" s="1"/>
  <c r="L17" i="10" s="1"/>
  <c r="B15" i="10"/>
  <c r="N19" i="10" s="1"/>
  <c r="B11" i="10"/>
  <c r="B6" i="10"/>
  <c r="B5" i="10"/>
  <c r="B7" i="10" s="1"/>
  <c r="H17" i="9"/>
  <c r="H18" i="9"/>
  <c r="H19" i="9"/>
  <c r="H20" i="9"/>
  <c r="H16" i="9"/>
  <c r="C16" i="9"/>
  <c r="K16" i="9" s="1"/>
  <c r="C17" i="9"/>
  <c r="E17" i="9" s="1"/>
  <c r="C18" i="9"/>
  <c r="C19" i="9"/>
  <c r="C20" i="9"/>
  <c r="H10" i="2"/>
  <c r="M17" i="11" l="1"/>
  <c r="A20" i="11"/>
  <c r="C19" i="11"/>
  <c r="H19" i="11"/>
  <c r="O19" i="11" s="1"/>
  <c r="H18" i="11"/>
  <c r="O18" i="11" s="1"/>
  <c r="E7" i="11"/>
  <c r="H17" i="11"/>
  <c r="O17" i="11" s="1"/>
  <c r="O20" i="11"/>
  <c r="N18" i="11"/>
  <c r="C18" i="11"/>
  <c r="N20" i="11"/>
  <c r="N17" i="11"/>
  <c r="N21" i="11"/>
  <c r="H21" i="10"/>
  <c r="O21" i="10" s="1"/>
  <c r="H17" i="10"/>
  <c r="O17" i="10" s="1"/>
  <c r="H19" i="10"/>
  <c r="O19" i="10" s="1"/>
  <c r="E7" i="10"/>
  <c r="H20" i="10"/>
  <c r="O20" i="10" s="1"/>
  <c r="H18" i="10"/>
  <c r="O18" i="10" s="1"/>
  <c r="I17" i="10"/>
  <c r="M18" i="10"/>
  <c r="Q18" i="10"/>
  <c r="R18" i="10" s="1"/>
  <c r="K19" i="10"/>
  <c r="L19" i="10" s="1"/>
  <c r="E19" i="10"/>
  <c r="F19" i="10" s="1"/>
  <c r="G19" i="10" s="1"/>
  <c r="I19" i="10" s="1"/>
  <c r="Q17" i="10"/>
  <c r="R17" i="10" s="1"/>
  <c r="M17" i="10"/>
  <c r="P17" i="10" s="1"/>
  <c r="E18" i="10"/>
  <c r="F18" i="10" s="1"/>
  <c r="G18" i="10" s="1"/>
  <c r="I18" i="10" s="1"/>
  <c r="A20" i="10"/>
  <c r="N18" i="10"/>
  <c r="D5" i="10"/>
  <c r="C34" i="9"/>
  <c r="C33" i="9"/>
  <c r="C32" i="9"/>
  <c r="C31" i="9"/>
  <c r="C30" i="9"/>
  <c r="J20" i="9"/>
  <c r="B34" i="9" s="1"/>
  <c r="K20" i="9"/>
  <c r="A20" i="9"/>
  <c r="A34" i="9" s="1"/>
  <c r="J19" i="9"/>
  <c r="B33" i="9" s="1"/>
  <c r="K19" i="9"/>
  <c r="A19" i="9"/>
  <c r="A33" i="9" s="1"/>
  <c r="K18" i="9"/>
  <c r="J18" i="9"/>
  <c r="B32" i="9" s="1"/>
  <c r="E18" i="9"/>
  <c r="A18" i="9"/>
  <c r="A32" i="9" s="1"/>
  <c r="K17" i="9"/>
  <c r="J17" i="9"/>
  <c r="B31" i="9" s="1"/>
  <c r="A17" i="9"/>
  <c r="A31" i="9" s="1"/>
  <c r="B30" i="9"/>
  <c r="E16" i="9"/>
  <c r="A16" i="9"/>
  <c r="A30" i="9" s="1"/>
  <c r="B14" i="9"/>
  <c r="N20" i="9" s="1"/>
  <c r="B6" i="9"/>
  <c r="D5" i="9"/>
  <c r="E19" i="11" l="1"/>
  <c r="F19" i="11" s="1"/>
  <c r="G19" i="11" s="1"/>
  <c r="I19" i="11" s="1"/>
  <c r="K19" i="11"/>
  <c r="L19" i="11" s="1"/>
  <c r="A21" i="11"/>
  <c r="C21" i="11" s="1"/>
  <c r="C20" i="11"/>
  <c r="P17" i="11"/>
  <c r="K18" i="11"/>
  <c r="L18" i="11" s="1"/>
  <c r="E18" i="11"/>
  <c r="F18" i="11" s="1"/>
  <c r="G18" i="11" s="1"/>
  <c r="I18" i="11" s="1"/>
  <c r="I17" i="11"/>
  <c r="Q17" i="11"/>
  <c r="R17" i="11" s="1"/>
  <c r="S17" i="10"/>
  <c r="Q19" i="10"/>
  <c r="R19" i="10" s="1"/>
  <c r="S19" i="10" s="1"/>
  <c r="M19" i="10"/>
  <c r="P19" i="10" s="1"/>
  <c r="P18" i="10"/>
  <c r="A21" i="10"/>
  <c r="C21" i="10" s="1"/>
  <c r="C20" i="10"/>
  <c r="S18" i="10"/>
  <c r="N16" i="9"/>
  <c r="F16" i="9"/>
  <c r="G16" i="9" s="1"/>
  <c r="B7" i="9"/>
  <c r="L20" i="9"/>
  <c r="M20" i="9" s="1"/>
  <c r="F17" i="9"/>
  <c r="G17" i="9" s="1"/>
  <c r="I17" i="9" s="1"/>
  <c r="F18" i="9"/>
  <c r="G18" i="9" s="1"/>
  <c r="L16" i="9"/>
  <c r="M16" i="9" s="1"/>
  <c r="L19" i="9"/>
  <c r="M19" i="9" s="1"/>
  <c r="L17" i="9"/>
  <c r="M17" i="9" s="1"/>
  <c r="N17" i="9"/>
  <c r="L18" i="9"/>
  <c r="M18" i="9" s="1"/>
  <c r="N19" i="9"/>
  <c r="N18" i="9"/>
  <c r="E19" i="9"/>
  <c r="F19" i="9" s="1"/>
  <c r="G19" i="9" s="1"/>
  <c r="E20" i="9"/>
  <c r="F20" i="9" s="1"/>
  <c r="G20" i="9" s="1"/>
  <c r="C10" i="2"/>
  <c r="K21" i="11" l="1"/>
  <c r="L21" i="11" s="1"/>
  <c r="E21" i="11"/>
  <c r="F21" i="11" s="1"/>
  <c r="E20" i="11"/>
  <c r="F20" i="11" s="1"/>
  <c r="G20" i="11" s="1"/>
  <c r="I20" i="11" s="1"/>
  <c r="K20" i="11"/>
  <c r="L20" i="11" s="1"/>
  <c r="Q18" i="11"/>
  <c r="R18" i="11" s="1"/>
  <c r="S18" i="11" s="1"/>
  <c r="M18" i="11"/>
  <c r="P18" i="11" s="1"/>
  <c r="Q19" i="11"/>
  <c r="R19" i="11" s="1"/>
  <c r="S19" i="11" s="1"/>
  <c r="M19" i="11"/>
  <c r="P19" i="11" s="1"/>
  <c r="S17" i="11"/>
  <c r="E20" i="10"/>
  <c r="F20" i="10" s="1"/>
  <c r="G20" i="10" s="1"/>
  <c r="I20" i="10" s="1"/>
  <c r="K20" i="10"/>
  <c r="L20" i="10" s="1"/>
  <c r="I21" i="10"/>
  <c r="L21" i="10"/>
  <c r="I20" i="9"/>
  <c r="O17" i="9"/>
  <c r="P17" i="9" s="1"/>
  <c r="Q18" i="9"/>
  <c r="R18" i="9" s="1"/>
  <c r="O19" i="9"/>
  <c r="P19" i="9" s="1"/>
  <c r="Q19" i="9"/>
  <c r="E7" i="9"/>
  <c r="I16" i="9"/>
  <c r="I19" i="9"/>
  <c r="G21" i="11" l="1"/>
  <c r="H21" i="11" s="1"/>
  <c r="O21" i="11" s="1"/>
  <c r="M21" i="11"/>
  <c r="Q20" i="11"/>
  <c r="R20" i="11" s="1"/>
  <c r="S20" i="11" s="1"/>
  <c r="M20" i="11"/>
  <c r="P20" i="11" s="1"/>
  <c r="P21" i="10"/>
  <c r="Q21" i="10"/>
  <c r="R21" i="10" s="1"/>
  <c r="S21" i="10" s="1"/>
  <c r="Q20" i="10"/>
  <c r="R20" i="10" s="1"/>
  <c r="M20" i="10"/>
  <c r="P20" i="10" s="1"/>
  <c r="G27" i="10"/>
  <c r="Q17" i="9"/>
  <c r="R17" i="9" s="1"/>
  <c r="O18" i="9"/>
  <c r="P18" i="9" s="1"/>
  <c r="Q20" i="9"/>
  <c r="R20" i="9" s="1"/>
  <c r="S20" i="9" s="1"/>
  <c r="O20" i="9"/>
  <c r="P20" i="9" s="1"/>
  <c r="I18" i="9"/>
  <c r="S18" i="9" s="1"/>
  <c r="R19" i="9"/>
  <c r="S19" i="9" s="1"/>
  <c r="O16" i="9"/>
  <c r="P16" i="9" s="1"/>
  <c r="Q16" i="9"/>
  <c r="R16" i="9" s="1"/>
  <c r="S16" i="9" s="1"/>
  <c r="J38" i="8"/>
  <c r="J32" i="8"/>
  <c r="J26" i="8"/>
  <c r="J20" i="8"/>
  <c r="J14" i="8"/>
  <c r="C38" i="8"/>
  <c r="A41" i="8"/>
  <c r="A40" i="8"/>
  <c r="A39" i="8"/>
  <c r="C32" i="8"/>
  <c r="K32" i="8" s="1"/>
  <c r="E32" i="8"/>
  <c r="A35" i="8"/>
  <c r="A34" i="8"/>
  <c r="A33" i="8"/>
  <c r="E26" i="8"/>
  <c r="K26" i="8"/>
  <c r="L26" i="8" s="1"/>
  <c r="M26" i="8" s="1"/>
  <c r="K29" i="8"/>
  <c r="A29" i="8"/>
  <c r="E29" i="8"/>
  <c r="F29" i="8" s="1"/>
  <c r="G29" i="8" s="1"/>
  <c r="K28" i="8"/>
  <c r="L28" i="8" s="1"/>
  <c r="A28" i="8"/>
  <c r="E28" i="8"/>
  <c r="F28" i="8"/>
  <c r="G28" i="8" s="1"/>
  <c r="K27" i="8"/>
  <c r="L27" i="8" s="1"/>
  <c r="A27" i="8"/>
  <c r="E27" i="8"/>
  <c r="F27" i="8"/>
  <c r="G27" i="8" s="1"/>
  <c r="E20" i="8"/>
  <c r="K20" i="8"/>
  <c r="K23" i="8"/>
  <c r="A23" i="8"/>
  <c r="L23" i="8" s="1"/>
  <c r="E23" i="8"/>
  <c r="K22" i="8"/>
  <c r="A22" i="8"/>
  <c r="L22" i="8" s="1"/>
  <c r="E22" i="8"/>
  <c r="K21" i="8"/>
  <c r="L21" i="8" s="1"/>
  <c r="A21" i="8"/>
  <c r="E21" i="8"/>
  <c r="A17" i="8"/>
  <c r="E17" i="8"/>
  <c r="K17" i="8"/>
  <c r="K16" i="8"/>
  <c r="A16" i="8"/>
  <c r="E16" i="8"/>
  <c r="K15" i="8"/>
  <c r="A15" i="8"/>
  <c r="E15" i="8"/>
  <c r="N32" i="8"/>
  <c r="K14" i="8"/>
  <c r="A14" i="8"/>
  <c r="A48" i="8" s="1"/>
  <c r="B4" i="8"/>
  <c r="B3" i="8"/>
  <c r="D3" i="8" s="1"/>
  <c r="B12" i="8"/>
  <c r="N38" i="8" s="1"/>
  <c r="A20" i="8"/>
  <c r="A49" i="8" s="1"/>
  <c r="A26" i="8"/>
  <c r="A32" i="8"/>
  <c r="A51" i="8" s="1"/>
  <c r="A38" i="8"/>
  <c r="A52" i="8"/>
  <c r="E14" i="8"/>
  <c r="F14" i="8" s="1"/>
  <c r="G14" i="8" s="1"/>
  <c r="A50" i="8"/>
  <c r="H14" i="6"/>
  <c r="B23" i="6" s="1"/>
  <c r="A14" i="6"/>
  <c r="A23" i="6" s="1"/>
  <c r="H13" i="6"/>
  <c r="B22" i="6" s="1"/>
  <c r="A13" i="6"/>
  <c r="A22" i="6" s="1"/>
  <c r="H12" i="6"/>
  <c r="B21" i="6" s="1"/>
  <c r="A12" i="6"/>
  <c r="H11" i="6"/>
  <c r="B20" i="6" s="1"/>
  <c r="A11" i="6"/>
  <c r="A20" i="6" s="1"/>
  <c r="H10" i="6"/>
  <c r="B19" i="6" s="1"/>
  <c r="A10" i="6"/>
  <c r="C10" i="6"/>
  <c r="B4" i="6"/>
  <c r="B5" i="6" s="1"/>
  <c r="B3" i="6"/>
  <c r="D3" i="6"/>
  <c r="C11" i="6"/>
  <c r="C12" i="6"/>
  <c r="C13" i="6"/>
  <c r="C14" i="6"/>
  <c r="H14" i="5"/>
  <c r="B23" i="5" s="1"/>
  <c r="A14" i="5"/>
  <c r="A23" i="5" s="1"/>
  <c r="H13" i="5"/>
  <c r="B22" i="5" s="1"/>
  <c r="A13" i="5"/>
  <c r="A22" i="5" s="1"/>
  <c r="H12" i="5"/>
  <c r="B21" i="5" s="1"/>
  <c r="A12" i="5"/>
  <c r="A21" i="5" s="1"/>
  <c r="H11" i="5"/>
  <c r="B20" i="5"/>
  <c r="A11" i="5"/>
  <c r="H10" i="5"/>
  <c r="B19" i="5" s="1"/>
  <c r="A10" i="5"/>
  <c r="C10" i="5"/>
  <c r="B4" i="5"/>
  <c r="B5" i="5" s="1"/>
  <c r="B3" i="5"/>
  <c r="D3" i="5" s="1"/>
  <c r="C11" i="5"/>
  <c r="C12" i="5"/>
  <c r="C13" i="5"/>
  <c r="D13" i="5"/>
  <c r="E13" i="5" s="1"/>
  <c r="C14" i="5"/>
  <c r="H14" i="4"/>
  <c r="B23" i="4" s="1"/>
  <c r="A14" i="4"/>
  <c r="A23" i="4"/>
  <c r="H13" i="4"/>
  <c r="B22" i="4" s="1"/>
  <c r="A13" i="4"/>
  <c r="A22" i="4" s="1"/>
  <c r="H12" i="4"/>
  <c r="B21" i="4" s="1"/>
  <c r="A12" i="4"/>
  <c r="A21" i="4"/>
  <c r="H11" i="4"/>
  <c r="B20" i="4" s="1"/>
  <c r="A11" i="4"/>
  <c r="A20" i="4" s="1"/>
  <c r="H10" i="4"/>
  <c r="B19" i="4" s="1"/>
  <c r="A10" i="4"/>
  <c r="A19" i="4" s="1"/>
  <c r="C10" i="4"/>
  <c r="B4" i="4"/>
  <c r="B3" i="4"/>
  <c r="D3" i="4" s="1"/>
  <c r="C11" i="4"/>
  <c r="C12" i="4"/>
  <c r="D12" i="4"/>
  <c r="E12" i="4" s="1"/>
  <c r="C13" i="4"/>
  <c r="D13" i="4" s="1"/>
  <c r="E13" i="4" s="1"/>
  <c r="C14" i="4"/>
  <c r="D14" i="4" s="1"/>
  <c r="E14" i="4" s="1"/>
  <c r="A20" i="1"/>
  <c r="A21" i="1"/>
  <c r="A22" i="1"/>
  <c r="A23" i="1"/>
  <c r="A19" i="1"/>
  <c r="H14" i="2"/>
  <c r="B23" i="2" s="1"/>
  <c r="H11" i="2"/>
  <c r="B20" i="2" s="1"/>
  <c r="H12" i="2"/>
  <c r="B21" i="2" s="1"/>
  <c r="H13" i="2"/>
  <c r="B22" i="2" s="1"/>
  <c r="B19" i="2"/>
  <c r="C11" i="2"/>
  <c r="C12" i="2"/>
  <c r="C13" i="2"/>
  <c r="C14" i="2"/>
  <c r="D14" i="2" s="1"/>
  <c r="A11" i="2"/>
  <c r="A12" i="2"/>
  <c r="A21" i="2"/>
  <c r="A13" i="2"/>
  <c r="A22" i="2" s="1"/>
  <c r="A14" i="2"/>
  <c r="A23" i="2"/>
  <c r="B4" i="2"/>
  <c r="B3" i="2"/>
  <c r="D3" i="2" s="1"/>
  <c r="B4" i="1"/>
  <c r="C4" i="1" s="1"/>
  <c r="F4" i="1" s="1"/>
  <c r="B3" i="1"/>
  <c r="C3" i="1" s="1"/>
  <c r="A10" i="2"/>
  <c r="D10" i="2" s="1"/>
  <c r="E10" i="2" s="1"/>
  <c r="C10" i="1"/>
  <c r="D10" i="1" s="1"/>
  <c r="E10" i="1" s="1"/>
  <c r="C11" i="1"/>
  <c r="D11" i="1" s="1"/>
  <c r="E11" i="1" s="1"/>
  <c r="C12" i="1"/>
  <c r="D12" i="1"/>
  <c r="E12" i="1" s="1"/>
  <c r="C13" i="1"/>
  <c r="D13" i="1"/>
  <c r="E13" i="1"/>
  <c r="C14" i="1"/>
  <c r="D14" i="1" s="1"/>
  <c r="E14" i="1" s="1"/>
  <c r="H11" i="1"/>
  <c r="B20" i="1"/>
  <c r="H12" i="1"/>
  <c r="B21" i="1" s="1"/>
  <c r="H13" i="1"/>
  <c r="B22" i="1"/>
  <c r="H14" i="1"/>
  <c r="B23" i="1" s="1"/>
  <c r="H10" i="1"/>
  <c r="B19" i="1"/>
  <c r="F20" i="8"/>
  <c r="G20" i="8" s="1"/>
  <c r="F21" i="8"/>
  <c r="G21" i="8"/>
  <c r="A19" i="2"/>
  <c r="K38" i="8"/>
  <c r="L38" i="8" s="1"/>
  <c r="E38" i="8"/>
  <c r="F38" i="8"/>
  <c r="G38" i="8" s="1"/>
  <c r="Q21" i="11" l="1"/>
  <c r="R21" i="11" s="1"/>
  <c r="R27" i="11" s="1"/>
  <c r="P21" i="11"/>
  <c r="I21" i="11"/>
  <c r="G27" i="11" s="1"/>
  <c r="S20" i="10"/>
  <c r="S22" i="10" s="1"/>
  <c r="R27" i="10"/>
  <c r="P30" i="10" s="1"/>
  <c r="S17" i="9"/>
  <c r="F10" i="6"/>
  <c r="F11" i="6"/>
  <c r="B5" i="2"/>
  <c r="G10" i="2" s="1"/>
  <c r="B5" i="8"/>
  <c r="F16" i="8"/>
  <c r="G16" i="8" s="1"/>
  <c r="F17" i="8"/>
  <c r="G17" i="8" s="1"/>
  <c r="D12" i="2"/>
  <c r="E12" i="2" s="1"/>
  <c r="D14" i="6"/>
  <c r="E14" i="6" s="1"/>
  <c r="F15" i="8"/>
  <c r="G15" i="8" s="1"/>
  <c r="L16" i="8"/>
  <c r="E14" i="2"/>
  <c r="D11" i="2"/>
  <c r="D11" i="4"/>
  <c r="E11" i="4" s="1"/>
  <c r="L14" i="8"/>
  <c r="L15" i="8"/>
  <c r="L17" i="8"/>
  <c r="D13" i="2"/>
  <c r="E13" i="2" s="1"/>
  <c r="H28" i="8"/>
  <c r="H27" i="8"/>
  <c r="O27" i="8" s="1"/>
  <c r="H33" i="8"/>
  <c r="O33" i="8" s="1"/>
  <c r="H15" i="8"/>
  <c r="E5" i="8"/>
  <c r="H34" i="8"/>
  <c r="O34" i="8" s="1"/>
  <c r="H35" i="8"/>
  <c r="O35" i="8" s="1"/>
  <c r="H22" i="8"/>
  <c r="O22" i="8" s="1"/>
  <c r="H14" i="8"/>
  <c r="O14" i="8" s="1"/>
  <c r="H29" i="8"/>
  <c r="H41" i="8"/>
  <c r="O41" i="8" s="1"/>
  <c r="H21" i="8"/>
  <c r="O21" i="8" s="1"/>
  <c r="H40" i="8"/>
  <c r="O40" i="8" s="1"/>
  <c r="H39" i="8"/>
  <c r="O39" i="8" s="1"/>
  <c r="H26" i="8"/>
  <c r="O26" i="8" s="1"/>
  <c r="H16" i="8"/>
  <c r="O16" i="8" s="1"/>
  <c r="H38" i="8"/>
  <c r="O38" i="8" s="1"/>
  <c r="H20" i="8"/>
  <c r="O20" i="8" s="1"/>
  <c r="H17" i="8"/>
  <c r="H23" i="8"/>
  <c r="O23" i="8" s="1"/>
  <c r="H32" i="8"/>
  <c r="O32" i="8" s="1"/>
  <c r="I15" i="8"/>
  <c r="M38" i="8"/>
  <c r="P38" i="8" s="1"/>
  <c r="Q38" i="8"/>
  <c r="Q14" i="8"/>
  <c r="M14" i="8"/>
  <c r="P14" i="8" s="1"/>
  <c r="I38" i="8"/>
  <c r="F12" i="6"/>
  <c r="B5" i="1"/>
  <c r="B5" i="4"/>
  <c r="F12" i="4" s="1"/>
  <c r="G12" i="4" s="1"/>
  <c r="N14" i="8"/>
  <c r="F26" i="8"/>
  <c r="G26" i="8" s="1"/>
  <c r="I26" i="8" s="1"/>
  <c r="F32" i="8"/>
  <c r="G32" i="8" s="1"/>
  <c r="I32" i="8" s="1"/>
  <c r="F13" i="6"/>
  <c r="F14" i="6"/>
  <c r="E5" i="6"/>
  <c r="D10" i="4"/>
  <c r="E10" i="4" s="1"/>
  <c r="L32" i="8"/>
  <c r="I16" i="8"/>
  <c r="F22" i="8"/>
  <c r="G22" i="8" s="1"/>
  <c r="F23" i="8"/>
  <c r="G23" i="8" s="1"/>
  <c r="L29" i="8"/>
  <c r="I21" i="8"/>
  <c r="O15" i="8"/>
  <c r="A20" i="5"/>
  <c r="D11" i="5"/>
  <c r="E11" i="5" s="1"/>
  <c r="D11" i="6"/>
  <c r="E11" i="6" s="1"/>
  <c r="A21" i="6"/>
  <c r="D12" i="6"/>
  <c r="E12" i="6" s="1"/>
  <c r="L20" i="8"/>
  <c r="F10" i="1"/>
  <c r="G10" i="1" s="1"/>
  <c r="F13" i="1"/>
  <c r="F14" i="1"/>
  <c r="F11" i="1"/>
  <c r="G11" i="1" s="1"/>
  <c r="F12" i="1"/>
  <c r="G12" i="1" s="1"/>
  <c r="A20" i="2"/>
  <c r="E11" i="2"/>
  <c r="F10" i="4"/>
  <c r="G10" i="4" s="1"/>
  <c r="F14" i="4"/>
  <c r="G14" i="4" s="1"/>
  <c r="F13" i="4"/>
  <c r="G13" i="4" s="1"/>
  <c r="F11" i="4"/>
  <c r="G11" i="4" s="1"/>
  <c r="D12" i="5"/>
  <c r="E12" i="5" s="1"/>
  <c r="A19" i="5"/>
  <c r="D10" i="5"/>
  <c r="E10" i="5" s="1"/>
  <c r="I22" i="8"/>
  <c r="I23" i="8"/>
  <c r="F10" i="5"/>
  <c r="F13" i="5"/>
  <c r="G13" i="5" s="1"/>
  <c r="F14" i="5"/>
  <c r="F11" i="5"/>
  <c r="E5" i="5"/>
  <c r="G14" i="1"/>
  <c r="F12" i="5"/>
  <c r="G13" i="1"/>
  <c r="D14" i="5"/>
  <c r="E14" i="5" s="1"/>
  <c r="D13" i="6"/>
  <c r="E13" i="6" s="1"/>
  <c r="A19" i="6"/>
  <c r="D10" i="6"/>
  <c r="N26" i="8"/>
  <c r="N20" i="8"/>
  <c r="G13" i="6" l="1"/>
  <c r="G11" i="6"/>
  <c r="G14" i="6"/>
  <c r="G12" i="2"/>
  <c r="P30" i="11"/>
  <c r="S21" i="11"/>
  <c r="S22" i="11" s="1"/>
  <c r="G14" i="5"/>
  <c r="E5" i="4"/>
  <c r="G14" i="2"/>
  <c r="I27" i="8"/>
  <c r="G11" i="2"/>
  <c r="I20" i="8"/>
  <c r="E5" i="2"/>
  <c r="G13" i="2"/>
  <c r="Q32" i="8"/>
  <c r="M32" i="8"/>
  <c r="P32" i="8" s="1"/>
  <c r="B15" i="8"/>
  <c r="R14" i="8"/>
  <c r="O29" i="8"/>
  <c r="I29" i="8"/>
  <c r="I24" i="8"/>
  <c r="G12" i="5"/>
  <c r="Q26" i="8"/>
  <c r="B27" i="8" s="1"/>
  <c r="R38" i="8"/>
  <c r="B39" i="8"/>
  <c r="O28" i="8"/>
  <c r="I28" i="8"/>
  <c r="O17" i="8"/>
  <c r="I17" i="8"/>
  <c r="P26" i="8"/>
  <c r="E10" i="6"/>
  <c r="G10" i="6" s="1"/>
  <c r="G12" i="6"/>
  <c r="I14" i="8"/>
  <c r="R26" i="8"/>
  <c r="G15" i="4"/>
  <c r="M20" i="8"/>
  <c r="P20" i="8" s="1"/>
  <c r="Q20" i="8"/>
  <c r="G10" i="5"/>
  <c r="G15" i="1"/>
  <c r="G11" i="5"/>
  <c r="G15" i="6" l="1"/>
  <c r="I30" i="8"/>
  <c r="G15" i="2"/>
  <c r="R32" i="8"/>
  <c r="B33" i="8"/>
  <c r="C39" i="8"/>
  <c r="N39" i="8"/>
  <c r="J39" i="8"/>
  <c r="J15" i="8"/>
  <c r="N15" i="8"/>
  <c r="M15" i="8"/>
  <c r="P15" i="8" s="1"/>
  <c r="Q15" i="8"/>
  <c r="B21" i="8"/>
  <c r="R20" i="8"/>
  <c r="N27" i="8"/>
  <c r="R27" i="8"/>
  <c r="J27" i="8"/>
  <c r="Q27" i="8"/>
  <c r="B28" i="8" s="1"/>
  <c r="M27" i="8"/>
  <c r="P27" i="8" s="1"/>
  <c r="G15" i="5"/>
  <c r="N33" i="8" l="1"/>
  <c r="J33" i="8"/>
  <c r="C33" i="8"/>
  <c r="E39" i="8"/>
  <c r="F39" i="8" s="1"/>
  <c r="G39" i="8" s="1"/>
  <c r="I39" i="8" s="1"/>
  <c r="K39" i="8"/>
  <c r="L39" i="8" s="1"/>
  <c r="B16" i="8"/>
  <c r="R15" i="8"/>
  <c r="M21" i="8"/>
  <c r="J21" i="8"/>
  <c r="Q21" i="8"/>
  <c r="B22" i="8" s="1"/>
  <c r="N21" i="8"/>
  <c r="N28" i="8"/>
  <c r="J28" i="8"/>
  <c r="M28" i="8"/>
  <c r="Q28" i="8"/>
  <c r="B29" i="8" s="1"/>
  <c r="P28" i="8" l="1"/>
  <c r="E33" i="8"/>
  <c r="F33" i="8" s="1"/>
  <c r="G33" i="8" s="1"/>
  <c r="I33" i="8" s="1"/>
  <c r="K33" i="8"/>
  <c r="L33" i="8" s="1"/>
  <c r="J16" i="8"/>
  <c r="M16" i="8"/>
  <c r="N16" i="8"/>
  <c r="Q16" i="8"/>
  <c r="R21" i="8"/>
  <c r="Q39" i="8"/>
  <c r="M39" i="8"/>
  <c r="P39" i="8" s="1"/>
  <c r="R28" i="8"/>
  <c r="P21" i="8"/>
  <c r="J29" i="8"/>
  <c r="B50" i="8" s="1"/>
  <c r="Q29" i="8"/>
  <c r="R29" i="8" s="1"/>
  <c r="C50" i="8"/>
  <c r="N29" i="8"/>
  <c r="M29" i="8"/>
  <c r="J22" i="8"/>
  <c r="N22" i="8"/>
  <c r="M22" i="8"/>
  <c r="Q22" i="8"/>
  <c r="B23" i="8" s="1"/>
  <c r="R22" i="8" l="1"/>
  <c r="P16" i="8"/>
  <c r="R39" i="8"/>
  <c r="B40" i="8"/>
  <c r="B17" i="8"/>
  <c r="R16" i="8"/>
  <c r="Q33" i="8"/>
  <c r="M33" i="8"/>
  <c r="P33" i="8" s="1"/>
  <c r="C49" i="8"/>
  <c r="N23" i="8"/>
  <c r="J23" i="8"/>
  <c r="B49" i="8" s="1"/>
  <c r="Q23" i="8"/>
  <c r="R23" i="8" s="1"/>
  <c r="M23" i="8"/>
  <c r="P22" i="8"/>
  <c r="P29" i="8"/>
  <c r="J40" i="8" l="1"/>
  <c r="N40" i="8"/>
  <c r="C40" i="8"/>
  <c r="Q17" i="8"/>
  <c r="R17" i="8" s="1"/>
  <c r="C48" i="8"/>
  <c r="J17" i="8"/>
  <c r="B48" i="8" s="1"/>
  <c r="N17" i="8"/>
  <c r="M17" i="8"/>
  <c r="R33" i="8"/>
  <c r="B34" i="8"/>
  <c r="P23" i="8"/>
  <c r="E40" i="8" l="1"/>
  <c r="F40" i="8" s="1"/>
  <c r="G40" i="8" s="1"/>
  <c r="I40" i="8" s="1"/>
  <c r="K40" i="8"/>
  <c r="L40" i="8" s="1"/>
  <c r="J34" i="8"/>
  <c r="C34" i="8"/>
  <c r="N34" i="8"/>
  <c r="P17" i="8"/>
  <c r="E34" i="8" l="1"/>
  <c r="F34" i="8" s="1"/>
  <c r="G34" i="8" s="1"/>
  <c r="I34" i="8" s="1"/>
  <c r="K34" i="8"/>
  <c r="L34" i="8" s="1"/>
  <c r="M40" i="8"/>
  <c r="P40" i="8" s="1"/>
  <c r="Q40" i="8"/>
  <c r="R26" i="9" l="1"/>
  <c r="G26" i="9"/>
  <c r="M34" i="8"/>
  <c r="P34" i="8" s="1"/>
  <c r="Q34" i="8"/>
  <c r="R40" i="8"/>
  <c r="B41" i="8"/>
  <c r="P29" i="9" l="1"/>
  <c r="B35" i="8"/>
  <c r="R34" i="8"/>
  <c r="C41" i="8"/>
  <c r="J41" i="8"/>
  <c r="B52" i="8" s="1"/>
  <c r="C52" i="8"/>
  <c r="N41" i="8"/>
  <c r="E41" i="8" l="1"/>
  <c r="F41" i="8" s="1"/>
  <c r="G41" i="8" s="1"/>
  <c r="I41" i="8" s="1"/>
  <c r="I42" i="8" s="1"/>
  <c r="K41" i="8"/>
  <c r="L41" i="8" s="1"/>
  <c r="C35" i="8"/>
  <c r="N35" i="8"/>
  <c r="C51" i="8"/>
  <c r="J35" i="8"/>
  <c r="B51" i="8" s="1"/>
  <c r="K35" i="8" l="1"/>
  <c r="L35" i="8" s="1"/>
  <c r="E35" i="8"/>
  <c r="F35" i="8" s="1"/>
  <c r="G35" i="8" s="1"/>
  <c r="I35" i="8" s="1"/>
  <c r="I36" i="8" s="1"/>
  <c r="G44" i="8" s="1"/>
  <c r="M41" i="8"/>
  <c r="P41" i="8" s="1"/>
  <c r="Q41" i="8"/>
  <c r="R41" i="8" s="1"/>
  <c r="M35" i="8" l="1"/>
  <c r="P35" i="8" s="1"/>
  <c r="Q35" i="8"/>
  <c r="R35" i="8" s="1"/>
  <c r="R44" i="8" s="1"/>
  <c r="P47" i="8" s="1"/>
</calcChain>
</file>

<file path=xl/sharedStrings.xml><?xml version="1.0" encoding="utf-8"?>
<sst xmlns="http://schemas.openxmlformats.org/spreadsheetml/2006/main" count="329" uniqueCount="72">
  <si>
    <t>n=</t>
  </si>
  <si>
    <t>E=</t>
  </si>
  <si>
    <t>A=</t>
  </si>
  <si>
    <t>Xc</t>
  </si>
  <si>
    <t>Tg=Tp=</t>
  </si>
  <si>
    <t>PO2g</t>
  </si>
  <si>
    <t>(atm)</t>
  </si>
  <si>
    <t>PO2s</t>
  </si>
  <si>
    <t>Ptot</t>
  </si>
  <si>
    <t>Resid</t>
  </si>
  <si>
    <t>Chi Factor</t>
  </si>
  <si>
    <t>Diff (m^2/s)</t>
  </si>
  <si>
    <t>Rdiff (g-C/m^2-s)</t>
  </si>
  <si>
    <t>Rrxn (g-C/m^2-s)</t>
  </si>
  <si>
    <t>kcal/gmol</t>
  </si>
  <si>
    <t>kJ/gmol</t>
  </si>
  <si>
    <t>g-C/cm^2/s/atm^0.5</t>
  </si>
  <si>
    <t>ln k_1750=</t>
  </si>
  <si>
    <t>Diff (cm^2/s)</t>
  </si>
  <si>
    <t>kg (cm/s)</t>
  </si>
  <si>
    <t>dp (cm)</t>
  </si>
  <si>
    <t>ln(k_1750)</t>
  </si>
  <si>
    <t>g-C/cm^2/s/atm^.5</t>
  </si>
  <si>
    <t>kg-C/m^2/s/Pa^.5</t>
  </si>
  <si>
    <t>dp (microns)</t>
  </si>
  <si>
    <t>Chi</t>
  </si>
  <si>
    <t>21% O2, 1800 K</t>
  </si>
  <si>
    <t>10% O2, 1400 K</t>
  </si>
  <si>
    <t>Tg</t>
  </si>
  <si>
    <t>Tp</t>
  </si>
  <si>
    <t>Tfilm</t>
  </si>
  <si>
    <t>Twall</t>
  </si>
  <si>
    <t>K</t>
  </si>
  <si>
    <t>kg (kcal/cm/s/K)</t>
  </si>
  <si>
    <t>h (kcal/cm^2/s/K)</t>
  </si>
  <si>
    <t>eps</t>
  </si>
  <si>
    <t>sigma</t>
  </si>
  <si>
    <t>W/m^2/K^4</t>
  </si>
  <si>
    <t>kcal/cm^2/K^4</t>
  </si>
  <si>
    <t>q_conv</t>
  </si>
  <si>
    <t>q_rad</t>
  </si>
  <si>
    <t>q_rxn</t>
  </si>
  <si>
    <t>Diff Tp</t>
  </si>
  <si>
    <t>Net q</t>
  </si>
  <si>
    <t>dp (m)</t>
  </si>
  <si>
    <t>PO2s (atm)</t>
  </si>
  <si>
    <t>P_O2=.1, Tg=1800 K</t>
  </si>
  <si>
    <t>Relative Resid</t>
  </si>
  <si>
    <t xml:space="preserve">Assumes Sh = </t>
  </si>
  <si>
    <t xml:space="preserve"> = kg*d/Diff</t>
  </si>
  <si>
    <t>New Approach</t>
  </si>
  <si>
    <t>Solve Mass and Energy equations simultaneously using the solver</t>
  </si>
  <si>
    <t>Mass Resid</t>
  </si>
  <si>
    <t>New Tp</t>
  </si>
  <si>
    <t>Tp Resid</t>
  </si>
  <si>
    <t>Total Resid</t>
  </si>
  <si>
    <t>Note: I used the solver to minimize the sum of the mass residual and the temperature residual simultaneously for each diameter. I had to run the solver 5 differetnt time when 5 diameters were selected.</t>
  </si>
  <si>
    <t>Therm cond</t>
  </si>
  <si>
    <t>Mass trans coeff</t>
  </si>
  <si>
    <t>km (cm/s)</t>
  </si>
  <si>
    <t>km (kcal/cm/s/K)</t>
  </si>
  <si>
    <t>km (m/s)</t>
  </si>
  <si>
    <t>Tg (K)</t>
  </si>
  <si>
    <t>microns</t>
  </si>
  <si>
    <t>dp=</t>
  </si>
  <si>
    <t>PO2g=</t>
  </si>
  <si>
    <t>atm</t>
  </si>
  <si>
    <t>10% O2, 1800 K</t>
  </si>
  <si>
    <t>10% O2, Tg=1800 K</t>
  </si>
  <si>
    <t>10% O2, 1800 K, 10 atm</t>
  </si>
  <si>
    <t>from Python</t>
  </si>
  <si>
    <t>Tpmax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</si>
</sst>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"/>
    <numFmt numFmtId="166" formatCode="0.000E+00"/>
    <numFmt numFmtId="167" formatCode="0.0E+00"/>
    <numFmt numFmtId="168" formatCode="0.000000"/>
    <numFmt numFmtId="169" formatCode="0.0000E+00"/>
    <numFmt numFmtId="170" formatCode="0.00000"/>
  </numFmts>
  <fonts count="3">
    <font>
      <sz val="9"/>
      <name val="Geneva"/>
    </font>
    <font>
      <sz val="8"/>
      <name val="Geneva"/>
    </font>
    <font>
      <b/>
      <sz val="9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1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NumberFormat="1"/>
    <xf numFmtId="0" fontId="2" fillId="0" borderId="0" xfId="0" applyFont="1"/>
    <xf numFmtId="0" fontId="0" fillId="2" borderId="0" xfId="0" applyFill="1"/>
    <xf numFmtId="168" fontId="0" fillId="0" borderId="0" xfId="0" applyNumberFormat="1"/>
    <xf numFmtId="169" fontId="0" fillId="0" borderId="0" xfId="0" applyNumberFormat="1"/>
    <xf numFmtId="0" fontId="0" fillId="3" borderId="0" xfId="0" applyFill="1"/>
    <xf numFmtId="2" fontId="0" fillId="3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11" fontId="0" fillId="3" borderId="0" xfId="0" applyNumberFormat="1" applyFill="1"/>
    <xf numFmtId="168" fontId="0" fillId="3" borderId="0" xfId="0" applyNumberFormat="1" applyFill="1"/>
    <xf numFmtId="164" fontId="0" fillId="3" borderId="0" xfId="0" applyNumberFormat="1" applyFill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480447297029049"/>
          <c:y val="3.36401069132413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26514630892243"/>
          <c:y val="0.19572486494376562"/>
          <c:w val="0.78994020850215041"/>
          <c:h val="0.587174594831296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'New Units'!$B$18</c:f>
              <c:strCache>
                <c:ptCount val="1"/>
                <c:pt idx="0">
                  <c:v>Chi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'New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'New Units'!$B$19:$B$23</c:f>
              <c:numCache>
                <c:formatCode>0.000</c:formatCode>
                <c:ptCount val="5"/>
                <c:pt idx="0">
                  <c:v>0.19272661753863707</c:v>
                </c:pt>
                <c:pt idx="1">
                  <c:v>0.41141130414220617</c:v>
                </c:pt>
                <c:pt idx="2">
                  <c:v>0.64185032278685583</c:v>
                </c:pt>
                <c:pt idx="3">
                  <c:v>0.8448646719928623</c:v>
                </c:pt>
                <c:pt idx="4">
                  <c:v>0.96745272696609108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84-44FD-B458-C8440C84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1424"/>
        <c:axId val="58272000"/>
      </c:scatterChart>
      <c:valAx>
        <c:axId val="5827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0337369593506694"/>
              <c:y val="0.8807618772424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2000"/>
        <c:crosses val="autoZero"/>
        <c:crossBetween val="midCat"/>
      </c:valAx>
      <c:valAx>
        <c:axId val="5827200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61454818147732E-2"/>
              <c:y val="0.3731005642643293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142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1800 K</a:t>
            </a:r>
          </a:p>
        </c:rich>
      </c:tx>
      <c:layout>
        <c:manualLayout>
          <c:xMode val="edge"/>
          <c:yMode val="edge"/>
          <c:x val="0.38994987261812397"/>
          <c:y val="3.3640106913241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833437457628"/>
          <c:y val="0.19572486494376562"/>
          <c:w val="0.79038225082243407"/>
          <c:h val="0.587174594831296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F3-4ED1-909B-8BD8AE52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3728"/>
        <c:axId val="58274304"/>
      </c:scatterChart>
      <c:valAx>
        <c:axId val="582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02528929166873"/>
              <c:y val="0.8807618772424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4304"/>
        <c:crosses val="autoZero"/>
        <c:crossBetween val="midCat"/>
      </c:valAx>
      <c:valAx>
        <c:axId val="5827430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54407743057275E-2"/>
              <c:y val="0.3731005642643293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3728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1400 K</a:t>
            </a:r>
          </a:p>
        </c:rich>
      </c:tx>
      <c:layout>
        <c:manualLayout>
          <c:xMode val="edge"/>
          <c:yMode val="edge"/>
          <c:x val="0.38994987261812397"/>
          <c:y val="3.3640106913241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833437457628"/>
          <c:y val="0.19572486494376562"/>
          <c:w val="0.47800305885282485"/>
          <c:h val="0.5871745948312968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9A-48C9-8C4B-0BB9ED4E7D30}"/>
            </c:ext>
          </c:extLst>
        </c:ser>
        <c:ser>
          <c:idx val="0"/>
          <c:order val="1"/>
          <c:tx>
            <c:strRef>
              <c:f>'1400 K'!$B$18</c:f>
              <c:strCache>
                <c:ptCount val="1"/>
                <c:pt idx="0">
                  <c:v>10% O2, 1400 K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'1400 K'!$A$19:$A$23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'1400 K'!$B$19:$B$23</c:f>
              <c:numCache>
                <c:formatCode>0.000</c:formatCode>
                <c:ptCount val="5"/>
                <c:pt idx="0">
                  <c:v>4.0482101942803217E-2</c:v>
                </c:pt>
                <c:pt idx="1">
                  <c:v>9.8119118826059837E-2</c:v>
                </c:pt>
                <c:pt idx="2">
                  <c:v>0.18638776564496906</c:v>
                </c:pt>
                <c:pt idx="3">
                  <c:v>0.33660575779143453</c:v>
                </c:pt>
                <c:pt idx="4">
                  <c:v>0.62916621160092623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9A-48C9-8C4B-0BB9ED4E7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6032"/>
        <c:axId val="58276608"/>
      </c:scatterChart>
      <c:valAx>
        <c:axId val="582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24738759856275827"/>
              <c:y val="0.8807618772424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6608"/>
        <c:crosses val="autoZero"/>
        <c:crossBetween val="midCat"/>
      </c:valAx>
      <c:valAx>
        <c:axId val="5827660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54407743057275E-2"/>
              <c:y val="0.3731005642643293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603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136394900322994"/>
          <c:y val="0.4220318331768162"/>
          <c:w val="0.30189669687515475"/>
          <c:h val="0.137619173750070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21% O2, 1800 K</a:t>
            </a:r>
          </a:p>
        </c:rich>
      </c:tx>
      <c:layout>
        <c:manualLayout>
          <c:xMode val="edge"/>
          <c:yMode val="edge"/>
          <c:x val="0.38994987261812397"/>
          <c:y val="3.3640106913241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833437457628"/>
          <c:y val="0.19572486494376562"/>
          <c:w val="0.47800305885282485"/>
          <c:h val="0.587174594831296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24-494C-B283-1158DBE7366B}"/>
            </c:ext>
          </c:extLst>
        </c:ser>
        <c:ser>
          <c:idx val="1"/>
          <c:order val="1"/>
          <c:tx>
            <c:strRef>
              <c:f>'21% O2'!$B$18</c:f>
              <c:strCache>
                <c:ptCount val="1"/>
                <c:pt idx="0">
                  <c:v>21% O2, 1800 K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'21% O2'!$A$19:$A$23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'21% O2'!$B$19:$B$23</c:f>
              <c:numCache>
                <c:formatCode>0.000</c:formatCode>
                <c:ptCount val="5"/>
                <c:pt idx="0">
                  <c:v>0.13522346233656779</c:v>
                </c:pt>
                <c:pt idx="1">
                  <c:v>0.30340900879322141</c:v>
                </c:pt>
                <c:pt idx="2">
                  <c:v>0.50930311954266849</c:v>
                </c:pt>
                <c:pt idx="3">
                  <c:v>0.74060069287396202</c:v>
                </c:pt>
                <c:pt idx="4">
                  <c:v>0.93399080969472015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24-494C-B283-1158DBE73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61728"/>
        <c:axId val="165962304"/>
      </c:scatterChart>
      <c:valAx>
        <c:axId val="16596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24738759856275827"/>
              <c:y val="0.8807618772424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62304"/>
        <c:crosses val="autoZero"/>
        <c:crossBetween val="midCat"/>
      </c:valAx>
      <c:valAx>
        <c:axId val="16596230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54407743057275E-2"/>
              <c:y val="0.3731005642643293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61728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136394900322994"/>
          <c:y val="0.4220318331768162"/>
          <c:w val="0.30189669687515475"/>
          <c:h val="0.137619173750070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1800 K, 10 atm</a:t>
            </a:r>
          </a:p>
        </c:rich>
      </c:tx>
      <c:layout>
        <c:manualLayout>
          <c:xMode val="edge"/>
          <c:yMode val="edge"/>
          <c:x val="0.32495815381567872"/>
          <c:y val="3.3640106913241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833437457628"/>
          <c:y val="0.19572486494376562"/>
          <c:w val="0.46961704027645951"/>
          <c:h val="0.587174594831296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19-4B3F-8B27-A3F22006A7AE}"/>
            </c:ext>
          </c:extLst>
        </c:ser>
        <c:ser>
          <c:idx val="1"/>
          <c:order val="1"/>
          <c:tx>
            <c:strRef>
              <c:f>'10 atm'!$B$18</c:f>
              <c:strCache>
                <c:ptCount val="1"/>
                <c:pt idx="0">
                  <c:v>10% O2, 1800 K, 10 atm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'10 atm'!$A$19:$A$23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'10 atm'!$B$19:$B$23</c:f>
              <c:numCache>
                <c:formatCode>0.000</c:formatCode>
                <c:ptCount val="5"/>
                <c:pt idx="0">
                  <c:v>0.47142142046377766</c:v>
                </c:pt>
                <c:pt idx="1">
                  <c:v>0.7744106580555743</c:v>
                </c:pt>
                <c:pt idx="2">
                  <c:v>0.91568808143979774</c:v>
                </c:pt>
                <c:pt idx="3">
                  <c:v>0.97843995857788535</c:v>
                </c:pt>
                <c:pt idx="4">
                  <c:v>0.99642242193955377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19-4B3F-8B27-A3F22006A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86464"/>
        <c:axId val="203737920"/>
      </c:scatterChart>
      <c:valAx>
        <c:axId val="20368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24319450634708398"/>
              <c:y val="0.8807618772424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37920"/>
        <c:crosses val="autoZero"/>
        <c:crossBetween val="midCat"/>
      </c:valAx>
      <c:valAx>
        <c:axId val="20373792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54407743057275E-2"/>
              <c:y val="0.3731005642643293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68646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067022741038488"/>
          <c:y val="0.37004246028879417"/>
          <c:w val="0.40259038599196079"/>
          <c:h val="0.241597919526114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Tg=1800 K</a:t>
            </a:r>
          </a:p>
        </c:rich>
      </c:tx>
      <c:layout>
        <c:manualLayout>
          <c:xMode val="edge"/>
          <c:yMode val="edge"/>
          <c:x val="0.36440097161767826"/>
          <c:y val="3.3537865693617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7316432069645"/>
          <c:y val="0.19512871700087159"/>
          <c:w val="0.79298641576148254"/>
          <c:h val="0.5884350372057534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F1-4567-8CFE-114CAAF17104}"/>
            </c:ext>
          </c:extLst>
        </c:ser>
        <c:ser>
          <c:idx val="1"/>
          <c:order val="1"/>
          <c:tx>
            <c:strRef>
              <c:f>'Tg=1800'!$B$47</c:f>
              <c:strCache>
                <c:ptCount val="1"/>
                <c:pt idx="0">
                  <c:v>P_O2=.1, Tg=1800 K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'Tg=1800'!$A$48:$A$52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'Tg=1800'!$B$48:$B$52</c:f>
              <c:numCache>
                <c:formatCode>0.000</c:formatCode>
                <c:ptCount val="5"/>
                <c:pt idx="0">
                  <c:v>0.6072265493165887</c:v>
                </c:pt>
                <c:pt idx="1">
                  <c:v>0.52277136011212244</c:v>
                </c:pt>
                <c:pt idx="2">
                  <c:v>0.41176327149624858</c:v>
                </c:pt>
                <c:pt idx="3">
                  <c:v>0.90354381190260757</c:v>
                </c:pt>
                <c:pt idx="4">
                  <c:v>0.98296922963747013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F1-4567-8CFE-114CAAF1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39648"/>
        <c:axId val="203740224"/>
      </c:scatterChart>
      <c:valAx>
        <c:axId val="2037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0373974992256401"/>
              <c:y val="0.88112796876000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0224"/>
        <c:crosses val="autoZero"/>
        <c:crossBetween val="midCat"/>
      </c:valAx>
      <c:valAx>
        <c:axId val="20374022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127380816528371E-2"/>
              <c:y val="0.37196402278983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39648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279437896349907"/>
          <c:y val="0.4240330324563088"/>
          <c:w val="0.39064247403857122"/>
          <c:h val="0.2376045067537289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Tg=1800 K</a:t>
            </a:r>
          </a:p>
        </c:rich>
      </c:tx>
      <c:layout>
        <c:manualLayout>
          <c:xMode val="edge"/>
          <c:yMode val="edge"/>
          <c:x val="0.34096703608514634"/>
          <c:y val="3.31334787970780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168525625803"/>
          <c:y val="0.20783817747426972"/>
          <c:w val="0.76717597451856212"/>
          <c:h val="0.5783323199284026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'Tg=1800'!$A$48:$A$52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'Tg=1800'!$C$48:$C$52</c:f>
              <c:numCache>
                <c:formatCode>0.00</c:formatCode>
                <c:ptCount val="5"/>
                <c:pt idx="0">
                  <c:v>1900.9878156946463</c:v>
                </c:pt>
                <c:pt idx="1">
                  <c:v>1958.1231782176239</c:v>
                </c:pt>
                <c:pt idx="2">
                  <c:v>2010.1420857609012</c:v>
                </c:pt>
                <c:pt idx="3">
                  <c:v>1867.2286638072792</c:v>
                </c:pt>
                <c:pt idx="4">
                  <c:v>1648.2167774782447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57-4087-B544-DB645BAF2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41952"/>
        <c:axId val="203742528"/>
      </c:scatterChart>
      <c:valAx>
        <c:axId val="2037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1581351187650401"/>
              <c:y val="0.882559213230876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2528"/>
        <c:crosses val="autoZero"/>
        <c:crossBetween val="midCat"/>
      </c:valAx>
      <c:valAx>
        <c:axId val="203742528"/>
        <c:scaling>
          <c:orientation val="minMax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Temperature (K)</a:t>
                </a:r>
              </a:p>
            </c:rich>
          </c:tx>
          <c:layout>
            <c:manualLayout>
              <c:xMode val="edge"/>
              <c:yMode val="edge"/>
              <c:x val="3.3265124603707286E-2"/>
              <c:y val="0.234947348448913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195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Tg=1800 K</a:t>
            </a:r>
          </a:p>
        </c:rich>
      </c:tx>
      <c:layout>
        <c:manualLayout>
          <c:xMode val="edge"/>
          <c:yMode val="edge"/>
          <c:x val="0.36440097161767826"/>
          <c:y val="3.3537865693617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7316432069645"/>
          <c:y val="0.19512871700087159"/>
          <c:w val="0.79298641576148254"/>
          <c:h val="0.5884350372057534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'Orig units'!$B$18</c:f>
              <c:strCache>
                <c:ptCount val="1"/>
                <c:pt idx="0">
                  <c:v>10% O2, 1800 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'Orig units'!$A$19:$A$23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'Orig units'!$B$19:$B$23</c:f>
              <c:numCache>
                <c:formatCode>0.000</c:formatCode>
                <c:ptCount val="5"/>
                <c:pt idx="0">
                  <c:v>0.18968685261972273</c:v>
                </c:pt>
                <c:pt idx="1">
                  <c:v>0.40601138523378366</c:v>
                </c:pt>
                <c:pt idx="2">
                  <c:v>0.63582381521808129</c:v>
                </c:pt>
                <c:pt idx="3">
                  <c:v>0.84079431389438442</c:v>
                </c:pt>
                <c:pt idx="4">
                  <c:v>0.96635240807341394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8A-48E9-A29D-CE25BFA50A4F}"/>
            </c:ext>
          </c:extLst>
        </c:ser>
        <c:ser>
          <c:idx val="1"/>
          <c:order val="1"/>
          <c:tx>
            <c:strRef>
              <c:f>'Tg=1800(new)'!$B$29</c:f>
              <c:strCache>
                <c:ptCount val="1"/>
                <c:pt idx="0">
                  <c:v>10% O2, Tg=1800 K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'Tg=1800(new)'!$A$30:$A$34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'Tg=1800(new)'!$B$30:$B$34</c:f>
              <c:numCache>
                <c:formatCode>0.000</c:formatCode>
                <c:ptCount val="5"/>
                <c:pt idx="0">
                  <c:v>0.27996557793006183</c:v>
                </c:pt>
                <c:pt idx="1">
                  <c:v>0.6341282084067873</c:v>
                </c:pt>
                <c:pt idx="2">
                  <c:v>0.81501951464610334</c:v>
                </c:pt>
                <c:pt idx="3">
                  <c:v>0.88174596768544167</c:v>
                </c:pt>
                <c:pt idx="4">
                  <c:v>0.89817720994020855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58A-48E9-A29D-CE25BFA50A4F}"/>
            </c:ext>
          </c:extLst>
        </c:ser>
        <c:ser>
          <c:idx val="2"/>
          <c:order val="2"/>
          <c:tx>
            <c:v>Python</c:v>
          </c:tx>
          <c:spPr>
            <a:ln>
              <a:solidFill>
                <a:schemeClr val="accent1"/>
              </a:solidFill>
              <a:prstDash val="dash"/>
            </a:ln>
          </c:spPr>
          <c:xVal>
            <c:numRef>
              <c:f>'Tg=1800(new)'!$A$30:$A$34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'Tg=1800(new)'!$V$16:$V$20</c:f>
              <c:numCache>
                <c:formatCode>General</c:formatCode>
                <c:ptCount val="5"/>
                <c:pt idx="0">
                  <c:v>0.19836000000000001</c:v>
                </c:pt>
                <c:pt idx="1">
                  <c:v>0.54017999999999999</c:v>
                </c:pt>
                <c:pt idx="2">
                  <c:v>0.76637</c:v>
                </c:pt>
                <c:pt idx="3">
                  <c:v>0.86234999999999995</c:v>
                </c:pt>
                <c:pt idx="4">
                  <c:v>0.89907999999999999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04-4E05-97E3-49023D14B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39648"/>
        <c:axId val="203740224"/>
      </c:scatterChart>
      <c:valAx>
        <c:axId val="2037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0373974992256401"/>
              <c:y val="0.88112796876000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0224"/>
        <c:crosses val="autoZero"/>
        <c:crossBetween val="midCat"/>
      </c:valAx>
      <c:valAx>
        <c:axId val="20374022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 Factor</a:t>
                </a:r>
              </a:p>
            </c:rich>
          </c:tx>
          <c:layout>
            <c:manualLayout>
              <c:xMode val="edge"/>
              <c:yMode val="edge"/>
              <c:x val="3.3127380816528371E-2"/>
              <c:y val="0.37196402278983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39648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865642139560145"/>
          <c:y val="0.4240330324563088"/>
          <c:w val="0.38347651371164809"/>
          <c:h val="0.3564067601305934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10% O2, Tg=1800 K</a:t>
            </a:r>
          </a:p>
        </c:rich>
      </c:tx>
      <c:layout>
        <c:manualLayout>
          <c:xMode val="edge"/>
          <c:yMode val="edge"/>
          <c:x val="0.34096703608514634"/>
          <c:y val="3.31334787970780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168525625803"/>
          <c:y val="0.20783817747426972"/>
          <c:w val="0.76717597451856212"/>
          <c:h val="0.5783323199284026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'Tg=1800(new)'!$A$30:$A$34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'Tg=1800(new)'!$C$30:$C$34</c:f>
              <c:numCache>
                <c:formatCode>0.00</c:formatCode>
                <c:ptCount val="5"/>
                <c:pt idx="0">
                  <c:v>1896.0578664737079</c:v>
                </c:pt>
                <c:pt idx="1">
                  <c:v>2010.2439708527761</c:v>
                </c:pt>
                <c:pt idx="2">
                  <c:v>1989.2211004447588</c:v>
                </c:pt>
                <c:pt idx="3">
                  <c:v>1860.010462605529</c:v>
                </c:pt>
                <c:pt idx="4">
                  <c:v>1632.1236234158205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A9-4845-A318-6F4BAA10A302}"/>
            </c:ext>
          </c:extLst>
        </c:ser>
        <c:ser>
          <c:idx val="1"/>
          <c:order val="1"/>
          <c:tx>
            <c:v>Python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plus"/>
            <c:size val="7"/>
          </c:marker>
          <c:xVal>
            <c:numRef>
              <c:f>'Tg=1800(new)'!$A$30:$A$34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'Tg=1800(new)'!$T$16:$T$20</c:f>
              <c:numCache>
                <c:formatCode>General</c:formatCode>
                <c:ptCount val="5"/>
                <c:pt idx="0">
                  <c:v>1896.06</c:v>
                </c:pt>
                <c:pt idx="1">
                  <c:v>2010.2</c:v>
                </c:pt>
                <c:pt idx="2">
                  <c:v>1989.2</c:v>
                </c:pt>
                <c:pt idx="3">
                  <c:v>1860.01</c:v>
                </c:pt>
                <c:pt idx="4">
                  <c:v>1632.12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CB-4917-82C5-E9950C55E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41952"/>
        <c:axId val="203742528"/>
      </c:scatterChart>
      <c:valAx>
        <c:axId val="2037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Diameter (microns)</a:t>
                </a:r>
              </a:p>
            </c:rich>
          </c:tx>
          <c:layout>
            <c:manualLayout>
              <c:xMode val="edge"/>
              <c:yMode val="edge"/>
              <c:x val="0.41581351187650401"/>
              <c:y val="0.882559213230876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2528"/>
        <c:crosses val="autoZero"/>
        <c:crossBetween val="midCat"/>
      </c:valAx>
      <c:valAx>
        <c:axId val="203742528"/>
        <c:scaling>
          <c:orientation val="minMax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Temperature (K)</a:t>
                </a:r>
              </a:p>
            </c:rich>
          </c:tx>
          <c:layout>
            <c:manualLayout>
              <c:xMode val="edge"/>
              <c:yMode val="edge"/>
              <c:x val="3.3265124603707286E-2"/>
              <c:y val="0.234947348448913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4195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114300</xdr:rowOff>
    </xdr:from>
    <xdr:to>
      <xdr:col>7</xdr:col>
      <xdr:colOff>457200</xdr:colOff>
      <xdr:row>36</xdr:row>
      <xdr:rowOff>28575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15</xdr:row>
      <xdr:rowOff>76200</xdr:rowOff>
    </xdr:from>
    <xdr:to>
      <xdr:col>8</xdr:col>
      <xdr:colOff>238125</xdr:colOff>
      <xdr:row>35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15</xdr:row>
      <xdr:rowOff>76200</xdr:rowOff>
    </xdr:from>
    <xdr:to>
      <xdr:col>8</xdr:col>
      <xdr:colOff>238125</xdr:colOff>
      <xdr:row>35</xdr:row>
      <xdr:rowOff>142875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15</xdr:row>
      <xdr:rowOff>76200</xdr:rowOff>
    </xdr:from>
    <xdr:to>
      <xdr:col>8</xdr:col>
      <xdr:colOff>238125</xdr:colOff>
      <xdr:row>35</xdr:row>
      <xdr:rowOff>142875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15</xdr:row>
      <xdr:rowOff>123825</xdr:rowOff>
    </xdr:from>
    <xdr:to>
      <xdr:col>10</xdr:col>
      <xdr:colOff>704850</xdr:colOff>
      <xdr:row>36</xdr:row>
      <xdr:rowOff>38100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44</xdr:row>
      <xdr:rowOff>9525</xdr:rowOff>
    </xdr:from>
    <xdr:to>
      <xdr:col>19</xdr:col>
      <xdr:colOff>200025</xdr:colOff>
      <xdr:row>64</xdr:row>
      <xdr:rowOff>85725</xdr:rowOff>
    </xdr:to>
    <xdr:graphicFrame macro="">
      <xdr:nvGraphicFramePr>
        <xdr:cNvPr id="6153" name="Chart 1">
          <a:extLst>
            <a:ext uri="{FF2B5EF4-FFF2-40B4-BE49-F238E27FC236}">
              <a16:creationId xmlns:a16="http://schemas.microsoft.com/office/drawing/2014/main" id="{00000000-0008-0000-0500-00000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30</xdr:row>
      <xdr:rowOff>9525</xdr:rowOff>
    </xdr:from>
    <xdr:to>
      <xdr:col>12</xdr:col>
      <xdr:colOff>590550</xdr:colOff>
      <xdr:row>50</xdr:row>
      <xdr:rowOff>123825</xdr:rowOff>
    </xdr:to>
    <xdr:graphicFrame macro="">
      <xdr:nvGraphicFramePr>
        <xdr:cNvPr id="6154" name="Chart 2">
          <a:extLst>
            <a:ext uri="{FF2B5EF4-FFF2-40B4-BE49-F238E27FC236}">
              <a16:creationId xmlns:a16="http://schemas.microsoft.com/office/drawing/2014/main" id="{00000000-0008-0000-05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0</xdr:row>
          <xdr:rowOff>85725</xdr:rowOff>
        </xdr:from>
        <xdr:to>
          <xdr:col>15</xdr:col>
          <xdr:colOff>381000</xdr:colOff>
          <xdr:row>4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495300</xdr:colOff>
      <xdr:row>5</xdr:row>
      <xdr:rowOff>142874</xdr:rowOff>
    </xdr:from>
    <xdr:to>
      <xdr:col>13</xdr:col>
      <xdr:colOff>342900</xdr:colOff>
      <xdr:row>10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83" r="25000"/>
        <a:stretch/>
      </xdr:blipFill>
      <xdr:spPr bwMode="auto">
        <a:xfrm>
          <a:off x="3543300" y="904874"/>
          <a:ext cx="4419600" cy="7334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24</xdr:row>
      <xdr:rowOff>76200</xdr:rowOff>
    </xdr:from>
    <xdr:to>
      <xdr:col>15</xdr:col>
      <xdr:colOff>295275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323850</xdr:colOff>
      <xdr:row>24</xdr:row>
      <xdr:rowOff>76200</xdr:rowOff>
    </xdr:from>
    <xdr:to>
      <xdr:col>8</xdr:col>
      <xdr:colOff>600075</xdr:colOff>
      <xdr:row>44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</xdr:row>
          <xdr:rowOff>85725</xdr:rowOff>
        </xdr:from>
        <xdr:to>
          <xdr:col>17</xdr:col>
          <xdr:colOff>381000</xdr:colOff>
          <xdr:row>7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495300</xdr:colOff>
      <xdr:row>7</xdr:row>
      <xdr:rowOff>142874</xdr:rowOff>
    </xdr:from>
    <xdr:to>
      <xdr:col>15</xdr:col>
      <xdr:colOff>38100</xdr:colOff>
      <xdr:row>12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83" r="25000"/>
        <a:stretch/>
      </xdr:blipFill>
      <xdr:spPr bwMode="auto">
        <a:xfrm>
          <a:off x="3543300" y="904874"/>
          <a:ext cx="4419600" cy="7334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</xdr:row>
          <xdr:rowOff>85725</xdr:rowOff>
        </xdr:from>
        <xdr:to>
          <xdr:col>27</xdr:col>
          <xdr:colOff>190500</xdr:colOff>
          <xdr:row>6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495300</xdr:colOff>
      <xdr:row>7</xdr:row>
      <xdr:rowOff>142874</xdr:rowOff>
    </xdr:from>
    <xdr:to>
      <xdr:col>22</xdr:col>
      <xdr:colOff>303213</xdr:colOff>
      <xdr:row>12</xdr:row>
      <xdr:rowOff>111124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83" r="25000"/>
        <a:stretch/>
      </xdr:blipFill>
      <xdr:spPr bwMode="auto">
        <a:xfrm>
          <a:off x="5867400" y="1209674"/>
          <a:ext cx="8990013" cy="730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</xdr:row>
          <xdr:rowOff>85725</xdr:rowOff>
        </xdr:from>
        <xdr:to>
          <xdr:col>23</xdr:col>
          <xdr:colOff>190500</xdr:colOff>
          <xdr:row>6</xdr:row>
          <xdr:rowOff>114300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495300</xdr:colOff>
      <xdr:row>7</xdr:row>
      <xdr:rowOff>142874</xdr:rowOff>
    </xdr:from>
    <xdr:to>
      <xdr:col>19</xdr:col>
      <xdr:colOff>303213</xdr:colOff>
      <xdr:row>12</xdr:row>
      <xdr:rowOff>111124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83" r="25000"/>
        <a:stretch/>
      </xdr:blipFill>
      <xdr:spPr bwMode="auto">
        <a:xfrm>
          <a:off x="5867400" y="1479549"/>
          <a:ext cx="8990013" cy="5778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zoomScale="140" zoomScaleNormal="140" workbookViewId="0">
      <selection activeCell="D9" sqref="D9"/>
    </sheetView>
  </sheetViews>
  <sheetFormatPr defaultColWidth="11.42578125" defaultRowHeight="12"/>
  <cols>
    <col min="1" max="4" width="11.42578125" customWidth="1"/>
    <col min="5" max="5" width="15.140625" customWidth="1"/>
    <col min="6" max="6" width="15.28515625" customWidth="1"/>
  </cols>
  <sheetData>
    <row r="1" spans="1:8">
      <c r="A1" t="s">
        <v>3</v>
      </c>
      <c r="B1">
        <v>0.8</v>
      </c>
    </row>
    <row r="2" spans="1:8">
      <c r="A2" t="s">
        <v>0</v>
      </c>
      <c r="B2">
        <v>0.5</v>
      </c>
    </row>
    <row r="3" spans="1:8">
      <c r="A3" t="s">
        <v>1</v>
      </c>
      <c r="B3">
        <f>-24.9+149*B1</f>
        <v>94.300000000000011</v>
      </c>
      <c r="C3" s="3">
        <f>B3/4.184</f>
        <v>22.53824091778203</v>
      </c>
      <c r="D3" t="s">
        <v>14</v>
      </c>
    </row>
    <row r="4" spans="1:8">
      <c r="A4" t="s">
        <v>21</v>
      </c>
      <c r="B4">
        <f>2.8-7.58*B1</f>
        <v>-3.2640000000000002</v>
      </c>
      <c r="C4" s="6">
        <f>EXP(B4)</f>
        <v>3.823515112359889E-2</v>
      </c>
      <c r="D4" t="s">
        <v>22</v>
      </c>
      <c r="F4" s="6">
        <f>C4/1000*100^2/SQRT(101000)</f>
        <v>1.2031011008455967E-3</v>
      </c>
      <c r="G4" t="s">
        <v>23</v>
      </c>
    </row>
    <row r="5" spans="1:8">
      <c r="A5" t="s">
        <v>2</v>
      </c>
      <c r="B5" s="2">
        <f>F4*EXP(B3/(0.008314*1750))</f>
        <v>0.78542490867505266</v>
      </c>
    </row>
    <row r="6" spans="1:8">
      <c r="A6" t="s">
        <v>8</v>
      </c>
      <c r="B6" s="2">
        <v>1</v>
      </c>
      <c r="C6" t="s">
        <v>6</v>
      </c>
    </row>
    <row r="7" spans="1:8">
      <c r="A7" t="s">
        <v>4</v>
      </c>
      <c r="B7" s="2">
        <v>1800</v>
      </c>
    </row>
    <row r="8" spans="1:8">
      <c r="A8" t="s">
        <v>5</v>
      </c>
      <c r="B8" s="2">
        <v>0.1</v>
      </c>
      <c r="C8" t="s">
        <v>6</v>
      </c>
    </row>
    <row r="9" spans="1:8">
      <c r="A9" t="s">
        <v>44</v>
      </c>
      <c r="B9" t="s">
        <v>45</v>
      </c>
      <c r="C9" t="s">
        <v>11</v>
      </c>
      <c r="D9" t="s">
        <v>61</v>
      </c>
      <c r="E9" t="s">
        <v>12</v>
      </c>
      <c r="F9" t="s">
        <v>13</v>
      </c>
      <c r="G9" t="s">
        <v>9</v>
      </c>
      <c r="H9" t="s">
        <v>10</v>
      </c>
    </row>
    <row r="10" spans="1:8">
      <c r="A10" s="4">
        <v>2.0000000000000002E-5</v>
      </c>
      <c r="B10">
        <v>8.0727338246136301E-2</v>
      </c>
      <c r="C10" s="5">
        <f>0.00001523*$B$7^1.67/$B$6/100^2</f>
        <v>4.1591538628414648E-4</v>
      </c>
      <c r="D10" s="4">
        <f>2*C10/A10</f>
        <v>41.591538628414646</v>
      </c>
      <c r="E10">
        <f>D10*($B$8-B10)/(0.08205*$B$7/1000)*2*12</f>
        <v>130.25872936147746</v>
      </c>
      <c r="F10">
        <f>$B$5*1000*EXP(-$B$3/(0.008314*$B$7))*(B10*101300)^$B$2</f>
        <v>130.2585150852729</v>
      </c>
      <c r="G10">
        <f>(E10-F10)^2</f>
        <v>4.5914291840374408E-8</v>
      </c>
      <c r="H10" s="1">
        <f>1-B10/$B$8</f>
        <v>0.19272661753863707</v>
      </c>
    </row>
    <row r="11" spans="1:8">
      <c r="A11" s="4">
        <v>5.0000000000000002E-5</v>
      </c>
      <c r="B11">
        <v>5.8858869585779391E-2</v>
      </c>
      <c r="C11" s="5">
        <f>0.00001523*$B$7^1.67/$B$6/100^2</f>
        <v>4.1591538628414648E-4</v>
      </c>
      <c r="D11" s="4">
        <f>2*C11/A11</f>
        <v>16.636615451365859</v>
      </c>
      <c r="E11">
        <f>D11*($B$8-B11)/(0.08205*$B$7/1000)*2*12</f>
        <v>111.22472735094547</v>
      </c>
      <c r="F11">
        <f>$B$5*1000*EXP(-$B$3/(0.008314*$B$7))*(B11*101300)^$B$2</f>
        <v>111.22483367226863</v>
      </c>
      <c r="G11">
        <f>(E11-F11)^2</f>
        <v>1.1304223758261128E-8</v>
      </c>
      <c r="H11" s="1">
        <f>1-B11/$B$8</f>
        <v>0.41141130414220617</v>
      </c>
    </row>
    <row r="12" spans="1:8">
      <c r="A12" s="4">
        <v>1E-4</v>
      </c>
      <c r="B12">
        <v>3.5814967721314421E-2</v>
      </c>
      <c r="C12" s="5">
        <f>0.00001523*$B$7^1.67/$B$6/100^2</f>
        <v>4.1591538628414648E-4</v>
      </c>
      <c r="D12" s="4">
        <f>2*C12/A12</f>
        <v>8.3183077256829296</v>
      </c>
      <c r="E12">
        <f>D12*($B$8-B12)/(0.08205*$B$7/1000)*2*12</f>
        <v>86.761868759211609</v>
      </c>
      <c r="F12">
        <f>$B$5*1000*EXP(-$B$3/(0.008314*$B$7))*(B12*101300)^$B$2</f>
        <v>86.7617071043463</v>
      </c>
      <c r="G12">
        <f>(E12-F12)^2</f>
        <v>2.6132295478053693E-8</v>
      </c>
      <c r="H12" s="1">
        <f>1-B12/$B$8</f>
        <v>0.64185032278685583</v>
      </c>
    </row>
    <row r="13" spans="1:8">
      <c r="A13" s="4">
        <v>2.0000000000000001E-4</v>
      </c>
      <c r="B13" s="4">
        <v>1.5513532800713775E-2</v>
      </c>
      <c r="C13" s="5">
        <f>0.00001523*$B$7^1.67/$B$6/100^2</f>
        <v>4.1591538628414648E-4</v>
      </c>
      <c r="D13" s="4">
        <f>2*C13/A13</f>
        <v>4.1591538628414648</v>
      </c>
      <c r="E13">
        <f>D13*($B$8-B13)/(0.08205*$B$7/1000)*2*12</f>
        <v>57.102127387323193</v>
      </c>
      <c r="F13">
        <f>$B$5*1000*EXP(-$B$3/(0.008314*$B$7))*(B13*101300)^$B$2</f>
        <v>57.101979082162423</v>
      </c>
      <c r="G13">
        <f>(E13-F13)^2</f>
        <v>2.1994420711220144E-8</v>
      </c>
      <c r="H13" s="1">
        <f>1-B13/$B$8</f>
        <v>0.8448646719928623</v>
      </c>
    </row>
    <row r="14" spans="1:8">
      <c r="A14" s="4">
        <v>5.0000000000000001E-4</v>
      </c>
      <c r="B14" s="4">
        <v>3.2547273033908912E-3</v>
      </c>
      <c r="C14" s="5">
        <f>0.00001523*$B$7^1.67/$B$6/100^2</f>
        <v>4.1591538628414648E-4</v>
      </c>
      <c r="D14" s="4">
        <f>2*C14/A14</f>
        <v>1.6636615451365859</v>
      </c>
      <c r="E14">
        <f>D14*($B$8-B14)/(0.08205*$B$7/1000)*2*12</f>
        <v>26.155009524127738</v>
      </c>
      <c r="F14">
        <f>$B$5*1000*EXP(-$B$3/(0.008314*$B$7))*(B14*101300)^$B$2</f>
        <v>26.154902779532353</v>
      </c>
      <c r="G14">
        <f>(E14-F14)^2</f>
        <v>1.1394408643921567E-8</v>
      </c>
      <c r="H14" s="1">
        <f>1-B14/$B$8</f>
        <v>0.96745272696609108</v>
      </c>
    </row>
    <row r="15" spans="1:8">
      <c r="G15">
        <f>SUM(G10:G14)</f>
        <v>1.1673964043183094E-7</v>
      </c>
    </row>
    <row r="18" spans="1:2">
      <c r="A18" t="s">
        <v>24</v>
      </c>
      <c r="B18" t="s">
        <v>25</v>
      </c>
    </row>
    <row r="19" spans="1:2">
      <c r="A19" s="7">
        <f>A10*1000000</f>
        <v>20</v>
      </c>
      <c r="B19" s="1">
        <f>H10</f>
        <v>0.19272661753863707</v>
      </c>
    </row>
    <row r="20" spans="1:2">
      <c r="A20" s="7">
        <f>A11*1000000</f>
        <v>50</v>
      </c>
      <c r="B20" s="1">
        <f>H11</f>
        <v>0.41141130414220617</v>
      </c>
    </row>
    <row r="21" spans="1:2">
      <c r="A21" s="7">
        <f>A12*1000000</f>
        <v>100</v>
      </c>
      <c r="B21" s="1">
        <f>H12</f>
        <v>0.64185032278685583</v>
      </c>
    </row>
    <row r="22" spans="1:2">
      <c r="A22" s="7">
        <f>A13*1000000</f>
        <v>200</v>
      </c>
      <c r="B22" s="1">
        <f>H13</f>
        <v>0.8448646719928623</v>
      </c>
    </row>
    <row r="23" spans="1:2">
      <c r="A23" s="7">
        <f>A14*1000000</f>
        <v>500</v>
      </c>
      <c r="B23" s="1">
        <f>H14</f>
        <v>0.96745272696609108</v>
      </c>
    </row>
  </sheetData>
  <phoneticPr fontId="0" type="noConversion"/>
  <pageMargins left="0.75" right="0.75" top="1" bottom="1" header="0.5" footer="0.5"/>
  <pageSetup paperSize="0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opLeftCell="A10" workbookViewId="0">
      <selection activeCell="B19" sqref="B19"/>
    </sheetView>
  </sheetViews>
  <sheetFormatPr defaultColWidth="11.42578125" defaultRowHeight="12"/>
  <cols>
    <col min="6" max="6" width="13.7109375" customWidth="1"/>
    <col min="7" max="7" width="12.140625" bestFit="1" customWidth="1"/>
  </cols>
  <sheetData>
    <row r="1" spans="1:8">
      <c r="A1" t="s">
        <v>3</v>
      </c>
      <c r="B1">
        <v>0.8</v>
      </c>
      <c r="F1" t="s">
        <v>48</v>
      </c>
      <c r="G1">
        <v>2</v>
      </c>
      <c r="H1" t="s">
        <v>49</v>
      </c>
    </row>
    <row r="2" spans="1:8">
      <c r="A2" t="s">
        <v>0</v>
      </c>
      <c r="B2">
        <v>0.5</v>
      </c>
    </row>
    <row r="3" spans="1:8">
      <c r="A3" t="s">
        <v>1</v>
      </c>
      <c r="B3">
        <f>-5.9+0.355*B1*100</f>
        <v>22.5</v>
      </c>
      <c r="C3" s="3" t="s">
        <v>14</v>
      </c>
      <c r="D3">
        <f>B3*4.194</f>
        <v>94.364999999999995</v>
      </c>
      <c r="E3" t="s">
        <v>15</v>
      </c>
    </row>
    <row r="4" spans="1:8">
      <c r="A4" t="s">
        <v>17</v>
      </c>
      <c r="B4">
        <f>(2.8-0.076*B1*100)</f>
        <v>-3.2800000000000002</v>
      </c>
      <c r="C4" s="3" t="s">
        <v>16</v>
      </c>
    </row>
    <row r="5" spans="1:8">
      <c r="A5" t="s">
        <v>2</v>
      </c>
      <c r="B5" s="2">
        <f>EXP(B4+B3*1000/(1.987*1750))</f>
        <v>24.303746781430529</v>
      </c>
      <c r="C5" s="3" t="s">
        <v>16</v>
      </c>
      <c r="E5">
        <f>B5/1000*100^2/SQRT(101000)</f>
        <v>0.76473777788639985</v>
      </c>
    </row>
    <row r="6" spans="1:8">
      <c r="A6" t="s">
        <v>8</v>
      </c>
      <c r="B6" s="2">
        <v>1</v>
      </c>
      <c r="C6" t="s">
        <v>6</v>
      </c>
    </row>
    <row r="7" spans="1:8">
      <c r="A7" t="s">
        <v>4</v>
      </c>
      <c r="B7" s="2">
        <v>1800</v>
      </c>
    </row>
    <row r="8" spans="1:8">
      <c r="A8" t="s">
        <v>5</v>
      </c>
      <c r="B8" s="2">
        <v>0.1</v>
      </c>
      <c r="C8" t="s">
        <v>6</v>
      </c>
    </row>
    <row r="9" spans="1:8">
      <c r="A9" t="s">
        <v>20</v>
      </c>
      <c r="B9" t="s">
        <v>7</v>
      </c>
      <c r="C9" t="s">
        <v>18</v>
      </c>
      <c r="D9" t="s">
        <v>59</v>
      </c>
      <c r="E9" t="s">
        <v>12</v>
      </c>
      <c r="F9" t="s">
        <v>13</v>
      </c>
      <c r="G9" t="s">
        <v>47</v>
      </c>
      <c r="H9" t="s">
        <v>10</v>
      </c>
    </row>
    <row r="10" spans="1:8">
      <c r="A10" s="4">
        <f>0.002</f>
        <v>2E-3</v>
      </c>
      <c r="B10">
        <v>8.1031314738027729E-2</v>
      </c>
      <c r="C10" s="5">
        <f>0.00001523*$B$7^1.67/$B$6</f>
        <v>4.1591538628414648</v>
      </c>
      <c r="D10" s="4">
        <f>$G$1*C10/A10</f>
        <v>4159.1538628414646</v>
      </c>
      <c r="E10" s="4">
        <f>D10*($B$8-B10)/(0.08205*$B$7*1000)*2*12</f>
        <v>1.2820423413423675E-2</v>
      </c>
      <c r="F10">
        <f>$B$5*EXP(-$B$3*1000/(1.987*$B$7))*(B10)^$B$2</f>
        <v>1.2820368781478363E-2</v>
      </c>
      <c r="G10">
        <f>ABS(1-E10/F10)</f>
        <v>4.2613396107338275E-6</v>
      </c>
      <c r="H10" s="19">
        <f>1-B10/$B$8</f>
        <v>0.18968685261972273</v>
      </c>
    </row>
    <row r="11" spans="1:8">
      <c r="A11" s="4">
        <f>0.005</f>
        <v>5.0000000000000001E-3</v>
      </c>
      <c r="B11">
        <v>5.9398861476621635E-2</v>
      </c>
      <c r="C11" s="5">
        <f>0.00001523*$B$7^1.67/$B$6</f>
        <v>4.1591538628414648</v>
      </c>
      <c r="D11" s="4">
        <f t="shared" ref="D11:D14" si="0">$G$1*C11/A11</f>
        <v>1663.6615451365858</v>
      </c>
      <c r="E11">
        <f>D11*($B$8-B11)/(0.08205*$B$7*1000)*2*12</f>
        <v>1.0976486345741738E-2</v>
      </c>
      <c r="F11">
        <f t="shared" ref="F11:F14" si="1">$B$5*EXP(-$B$3*1000/(1.987*$B$7))*(B11)^$B$2</f>
        <v>1.0976481142746883E-2</v>
      </c>
      <c r="G11">
        <f>ABS(1-E11/F11)</f>
        <v>4.7401300906635413E-7</v>
      </c>
      <c r="H11" s="19">
        <f>1-B11/$B$8</f>
        <v>0.40601138523378366</v>
      </c>
    </row>
    <row r="12" spans="1:8">
      <c r="A12" s="4">
        <f>0.01</f>
        <v>0.01</v>
      </c>
      <c r="B12">
        <v>3.6417618478191874E-2</v>
      </c>
      <c r="C12" s="5">
        <f>0.00001523*$B$7^1.67/$B$6</f>
        <v>4.1591538628414648</v>
      </c>
      <c r="D12" s="4">
        <f t="shared" si="0"/>
        <v>831.8307725682929</v>
      </c>
      <c r="E12">
        <f>D12*($B$8-B12)/(0.08205*$B$7*1000)*2*12</f>
        <v>8.5947237932996329E-3</v>
      </c>
      <c r="F12">
        <f t="shared" si="1"/>
        <v>8.5946826642830758E-3</v>
      </c>
      <c r="G12">
        <f>ABS(1-E12/F12)</f>
        <v>4.7854025755356133E-6</v>
      </c>
      <c r="H12" s="19">
        <f>1-B12/$B$8</f>
        <v>0.63582381521808129</v>
      </c>
    </row>
    <row r="13" spans="1:8">
      <c r="A13" s="4">
        <f>0.02</f>
        <v>0.02</v>
      </c>
      <c r="B13" s="4">
        <v>1.5920568610561563E-2</v>
      </c>
      <c r="C13" s="5">
        <f>0.00001523*$B$7^1.67/$B$6</f>
        <v>4.1591538628414648</v>
      </c>
      <c r="D13" s="4">
        <f t="shared" si="0"/>
        <v>415.91538628414645</v>
      </c>
      <c r="E13">
        <f>D13*($B$8-B13)/(0.08205*$B$7*1000)*2*12</f>
        <v>5.6827022847677714E-3</v>
      </c>
      <c r="F13">
        <f t="shared" si="1"/>
        <v>5.6826821149317582E-3</v>
      </c>
      <c r="G13">
        <f>ABS(1-E13/F13)</f>
        <v>3.5493514514151059E-6</v>
      </c>
      <c r="H13" s="19">
        <f>1-B13/$B$8</f>
        <v>0.84079431389438442</v>
      </c>
    </row>
    <row r="14" spans="1:8">
      <c r="A14" s="4">
        <f>0.05</f>
        <v>0.05</v>
      </c>
      <c r="B14" s="4">
        <v>3.364759192658608E-3</v>
      </c>
      <c r="C14" s="5">
        <f>0.00001523*$B$7^1.67/$B$6</f>
        <v>4.1591538628414648</v>
      </c>
      <c r="D14" s="4">
        <f t="shared" si="0"/>
        <v>166.36615451365859</v>
      </c>
      <c r="E14">
        <f>D14*($B$8-B14)/(0.08205*$B$7*1000)*2*12</f>
        <v>2.6125262488106869E-3</v>
      </c>
      <c r="F14">
        <f t="shared" si="1"/>
        <v>2.6124685408540861E-3</v>
      </c>
      <c r="G14">
        <f>ABS(1-E14/F14)</f>
        <v>2.2089435986805128E-5</v>
      </c>
      <c r="H14" s="19">
        <f>1-B14/$B$8</f>
        <v>0.96635240807341394</v>
      </c>
    </row>
    <row r="15" spans="1:8">
      <c r="G15">
        <f>SUM(G10:G14)</f>
        <v>3.5159542633556029E-5</v>
      </c>
    </row>
    <row r="17" spans="1:2">
      <c r="B17" t="s">
        <v>25</v>
      </c>
    </row>
    <row r="18" spans="1:2">
      <c r="A18" t="s">
        <v>24</v>
      </c>
      <c r="B18" t="s">
        <v>67</v>
      </c>
    </row>
    <row r="19" spans="1:2">
      <c r="A19" s="7">
        <f>A10*10000</f>
        <v>20</v>
      </c>
      <c r="B19" s="1">
        <f>H10</f>
        <v>0.18968685261972273</v>
      </c>
    </row>
    <row r="20" spans="1:2">
      <c r="A20" s="7">
        <f>A11*10000</f>
        <v>50</v>
      </c>
      <c r="B20" s="1">
        <f>H11</f>
        <v>0.40601138523378366</v>
      </c>
    </row>
    <row r="21" spans="1:2">
      <c r="A21" s="7">
        <f>A12*10000</f>
        <v>100</v>
      </c>
      <c r="B21" s="1">
        <f>H12</f>
        <v>0.63582381521808129</v>
      </c>
    </row>
    <row r="22" spans="1:2">
      <c r="A22" s="7">
        <f>A13*10000</f>
        <v>200</v>
      </c>
      <c r="B22" s="1">
        <f>H13</f>
        <v>0.84079431389438442</v>
      </c>
    </row>
    <row r="23" spans="1:2">
      <c r="A23" s="7">
        <f>A14*10000</f>
        <v>500</v>
      </c>
      <c r="B23" s="1">
        <f>H14</f>
        <v>0.96635240807341394</v>
      </c>
    </row>
    <row r="24" spans="1:2">
      <c r="A24" s="7"/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opLeftCell="A10" workbookViewId="0">
      <selection activeCell="D9" sqref="D9"/>
    </sheetView>
  </sheetViews>
  <sheetFormatPr defaultColWidth="11.42578125" defaultRowHeight="12"/>
  <sheetData>
    <row r="1" spans="1:8">
      <c r="A1" t="s">
        <v>3</v>
      </c>
      <c r="B1">
        <v>0.8</v>
      </c>
    </row>
    <row r="2" spans="1:8">
      <c r="A2" t="s">
        <v>0</v>
      </c>
      <c r="B2">
        <v>0.5</v>
      </c>
    </row>
    <row r="3" spans="1:8">
      <c r="A3" t="s">
        <v>1</v>
      </c>
      <c r="B3">
        <f>-5.9+0.355*B1*100</f>
        <v>22.5</v>
      </c>
      <c r="C3" s="3" t="s">
        <v>14</v>
      </c>
      <c r="D3">
        <f>B3*4.194</f>
        <v>94.364999999999995</v>
      </c>
      <c r="E3" t="s">
        <v>15</v>
      </c>
    </row>
    <row r="4" spans="1:8">
      <c r="A4" t="s">
        <v>17</v>
      </c>
      <c r="B4">
        <f>(2.8-0.076*B1*100)</f>
        <v>-3.2800000000000002</v>
      </c>
      <c r="C4" s="3" t="s">
        <v>16</v>
      </c>
    </row>
    <row r="5" spans="1:8">
      <c r="A5" t="s">
        <v>2</v>
      </c>
      <c r="B5" s="2">
        <f>EXP(B4+B3*1000/(1.987*1750))</f>
        <v>24.303746781430529</v>
      </c>
      <c r="C5" s="3" t="s">
        <v>16</v>
      </c>
      <c r="E5">
        <f>B5/1000*100^2/SQRT(101000)</f>
        <v>0.76473777788639985</v>
      </c>
    </row>
    <row r="6" spans="1:8">
      <c r="A6" t="s">
        <v>8</v>
      </c>
      <c r="B6" s="2">
        <v>1</v>
      </c>
      <c r="C6" t="s">
        <v>6</v>
      </c>
    </row>
    <row r="7" spans="1:8">
      <c r="A7" t="s">
        <v>4</v>
      </c>
      <c r="B7" s="2">
        <v>1400</v>
      </c>
    </row>
    <row r="8" spans="1:8">
      <c r="A8" t="s">
        <v>5</v>
      </c>
      <c r="B8" s="2">
        <v>0.1</v>
      </c>
      <c r="C8" t="s">
        <v>6</v>
      </c>
    </row>
    <row r="9" spans="1:8">
      <c r="A9" t="s">
        <v>20</v>
      </c>
      <c r="B9" t="s">
        <v>7</v>
      </c>
      <c r="C9" t="s">
        <v>18</v>
      </c>
      <c r="D9" t="s">
        <v>59</v>
      </c>
      <c r="E9" t="s">
        <v>12</v>
      </c>
      <c r="F9" t="s">
        <v>13</v>
      </c>
      <c r="G9" t="s">
        <v>9</v>
      </c>
      <c r="H9" t="s">
        <v>10</v>
      </c>
    </row>
    <row r="10" spans="1:8">
      <c r="A10" s="4">
        <f>0.002</f>
        <v>2E-3</v>
      </c>
      <c r="B10">
        <v>9.5951789805719681E-2</v>
      </c>
      <c r="C10" s="5">
        <f>0.00001523*$B$7^1.67/$B$6</f>
        <v>2.7335921769439908</v>
      </c>
      <c r="D10" s="4">
        <f>2*C10/A10</f>
        <v>2733.5921769439906</v>
      </c>
      <c r="E10">
        <f>D10*($B$8-B10)/(0.08205*$B$7*1000)*2*12</f>
        <v>2.3120722314358025E-3</v>
      </c>
      <c r="F10">
        <f>$B$5*EXP(-$B$3*1000/(1.987*$B$7))*(B10)^$B$2</f>
        <v>2.3120693490963902E-3</v>
      </c>
      <c r="G10">
        <f>ABS(1-E10/F10)</f>
        <v>1.2466492034235443E-6</v>
      </c>
      <c r="H10" s="1">
        <f>1-B10/$B$8</f>
        <v>4.0482101942803217E-2</v>
      </c>
    </row>
    <row r="11" spans="1:8">
      <c r="A11" s="4">
        <f>0.005</f>
        <v>5.0000000000000001E-3</v>
      </c>
      <c r="B11">
        <v>9.0188088117394025E-2</v>
      </c>
      <c r="C11" s="5">
        <f>0.00001523*$B$7^1.67/$B$6</f>
        <v>2.7335921769439908</v>
      </c>
      <c r="D11" s="4">
        <f>2*C11/A11</f>
        <v>1093.4368707775964</v>
      </c>
      <c r="E11">
        <f>D11*($B$8-B11)/(0.08205*$B$7*1000)*2*12</f>
        <v>2.2415682894253745E-3</v>
      </c>
      <c r="F11">
        <f>$B$5*EXP(-$B$3*1000/(1.987*$B$7))*(B11)^$B$2</f>
        <v>2.2415524559972698E-3</v>
      </c>
      <c r="G11">
        <f>ABS(1-E11/F11)</f>
        <v>7.063599186452052E-6</v>
      </c>
      <c r="H11" s="1">
        <f>1-B11/$B$8</f>
        <v>9.8119118826059837E-2</v>
      </c>
    </row>
    <row r="12" spans="1:8">
      <c r="A12" s="4">
        <f>0.01</f>
        <v>0.01</v>
      </c>
      <c r="B12">
        <v>8.1361223435503102E-2</v>
      </c>
      <c r="C12" s="5">
        <f>0.00001523*$B$7^1.67/$B$6</f>
        <v>2.7335921769439908</v>
      </c>
      <c r="D12" s="4">
        <f>2*C12/A12</f>
        <v>546.71843538879818</v>
      </c>
      <c r="E12">
        <f>D12*($B$8-B12)/(0.08205*$B$7*1000)*2*12</f>
        <v>2.1290494146572261E-3</v>
      </c>
      <c r="F12">
        <f>$B$5*EXP(-$B$3*1000/(1.987*$B$7))*(B12)^$B$2</f>
        <v>2.129036228008559E-3</v>
      </c>
      <c r="G12">
        <f>ABS(1-E12/F12)</f>
        <v>6.1937173700954418E-6</v>
      </c>
      <c r="H12" s="1">
        <f>1-B12/$B$8</f>
        <v>0.18638776564496906</v>
      </c>
    </row>
    <row r="13" spans="1:8">
      <c r="A13" s="4">
        <f>0.02</f>
        <v>0.02</v>
      </c>
      <c r="B13" s="4">
        <v>6.6339424220856549E-2</v>
      </c>
      <c r="C13" s="5">
        <f>0.00001523*$B$7^1.67/$B$6</f>
        <v>2.7335921769439908</v>
      </c>
      <c r="D13" s="4">
        <f>2*C13/A13</f>
        <v>273.35921769439909</v>
      </c>
      <c r="E13">
        <f>D13*($B$8-B13)/(0.08205*$B$7*1000)*2*12</f>
        <v>1.9224713840960449E-3</v>
      </c>
      <c r="F13">
        <f>$B$5*EXP(-$B$3*1000/(1.987*$B$7))*(B13)^$B$2</f>
        <v>1.9224726285571665E-3</v>
      </c>
      <c r="G13">
        <f>ABS(1-E13/F13)</f>
        <v>6.473231936032775E-7</v>
      </c>
      <c r="H13" s="1">
        <f>1-B13/$B$8</f>
        <v>0.33660575779143453</v>
      </c>
    </row>
    <row r="14" spans="1:8">
      <c r="A14" s="4">
        <f>0.05</f>
        <v>0.05</v>
      </c>
      <c r="B14" s="4">
        <v>3.7083378839907373E-2</v>
      </c>
      <c r="C14" s="5">
        <f>0.00001523*$B$7^1.67/$B$6</f>
        <v>2.7335921769439908</v>
      </c>
      <c r="D14" s="4">
        <f>2*C14/A14</f>
        <v>109.34368707775963</v>
      </c>
      <c r="E14">
        <f>D14*($B$8-B14)/(0.08205*$B$7*1000)*2*12</f>
        <v>1.4373539485231903E-3</v>
      </c>
      <c r="F14">
        <f>$B$5*EXP(-$B$3*1000/(1.987*$B$7))*(B14)^$B$2</f>
        <v>1.4373547390710709E-3</v>
      </c>
      <c r="G14">
        <f>ABS(1-E14/F14)</f>
        <v>5.5000192999976605E-7</v>
      </c>
      <c r="H14" s="1">
        <f>1-B14/$B$8</f>
        <v>0.62916621160092623</v>
      </c>
    </row>
    <row r="15" spans="1:8">
      <c r="G15">
        <f>SUM(G10:G14)</f>
        <v>1.5701290883574082E-5</v>
      </c>
    </row>
    <row r="17" spans="1:2">
      <c r="B17" t="s">
        <v>25</v>
      </c>
    </row>
    <row r="18" spans="1:2">
      <c r="A18" t="s">
        <v>24</v>
      </c>
      <c r="B18" t="s">
        <v>27</v>
      </c>
    </row>
    <row r="19" spans="1:2">
      <c r="A19" s="7">
        <f>A10*10000</f>
        <v>20</v>
      </c>
      <c r="B19" s="1">
        <f>H10</f>
        <v>4.0482101942803217E-2</v>
      </c>
    </row>
    <row r="20" spans="1:2">
      <c r="A20" s="7">
        <f>A11*10000</f>
        <v>50</v>
      </c>
      <c r="B20" s="1">
        <f>H11</f>
        <v>9.8119118826059837E-2</v>
      </c>
    </row>
    <row r="21" spans="1:2">
      <c r="A21" s="7">
        <f>A12*10000</f>
        <v>100</v>
      </c>
      <c r="B21" s="1">
        <f>H12</f>
        <v>0.18638776564496906</v>
      </c>
    </row>
    <row r="22" spans="1:2">
      <c r="A22" s="7">
        <f>A13*10000</f>
        <v>200</v>
      </c>
      <c r="B22" s="1">
        <f>H13</f>
        <v>0.33660575779143453</v>
      </c>
    </row>
    <row r="23" spans="1:2">
      <c r="A23" s="7">
        <f>A14*10000</f>
        <v>500</v>
      </c>
      <c r="B23" s="1">
        <f>H14</f>
        <v>0.62916621160092623</v>
      </c>
    </row>
    <row r="24" spans="1:2">
      <c r="A24" s="7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opLeftCell="A7" workbookViewId="0">
      <selection activeCell="D9" sqref="D9"/>
    </sheetView>
  </sheetViews>
  <sheetFormatPr defaultColWidth="11.42578125" defaultRowHeight="12"/>
  <sheetData>
    <row r="1" spans="1:8">
      <c r="A1" t="s">
        <v>3</v>
      </c>
      <c r="B1">
        <v>0.8</v>
      </c>
    </row>
    <row r="2" spans="1:8">
      <c r="A2" t="s">
        <v>0</v>
      </c>
      <c r="B2">
        <v>0.5</v>
      </c>
    </row>
    <row r="3" spans="1:8">
      <c r="A3" t="s">
        <v>1</v>
      </c>
      <c r="B3">
        <f>-5.9+0.355*B1*100</f>
        <v>22.5</v>
      </c>
      <c r="C3" s="3" t="s">
        <v>14</v>
      </c>
      <c r="D3">
        <f>B3*4.194</f>
        <v>94.364999999999995</v>
      </c>
      <c r="E3" t="s">
        <v>15</v>
      </c>
    </row>
    <row r="4" spans="1:8">
      <c r="A4" t="s">
        <v>17</v>
      </c>
      <c r="B4">
        <f>(2.8-0.076*B1*100)</f>
        <v>-3.2800000000000002</v>
      </c>
      <c r="C4" s="3" t="s">
        <v>16</v>
      </c>
    </row>
    <row r="5" spans="1:8">
      <c r="A5" t="s">
        <v>2</v>
      </c>
      <c r="B5" s="2">
        <f>EXP(B4+B3*1000/(1.987*1750))</f>
        <v>24.303746781430529</v>
      </c>
      <c r="C5" s="3" t="s">
        <v>16</v>
      </c>
      <c r="E5">
        <f>B5/1000*100^2/SQRT(101000)</f>
        <v>0.76473777788639985</v>
      </c>
    </row>
    <row r="6" spans="1:8">
      <c r="A6" t="s">
        <v>8</v>
      </c>
      <c r="B6" s="2">
        <v>1</v>
      </c>
      <c r="C6" t="s">
        <v>6</v>
      </c>
    </row>
    <row r="7" spans="1:8">
      <c r="A7" t="s">
        <v>4</v>
      </c>
      <c r="B7" s="2">
        <v>1800</v>
      </c>
    </row>
    <row r="8" spans="1:8">
      <c r="A8" t="s">
        <v>5</v>
      </c>
      <c r="B8" s="2">
        <v>0.21</v>
      </c>
      <c r="C8" t="s">
        <v>6</v>
      </c>
    </row>
    <row r="9" spans="1:8">
      <c r="A9" t="s">
        <v>20</v>
      </c>
      <c r="B9" t="s">
        <v>7</v>
      </c>
      <c r="C9" t="s">
        <v>18</v>
      </c>
      <c r="D9" t="s">
        <v>59</v>
      </c>
      <c r="E9" t="s">
        <v>12</v>
      </c>
      <c r="F9" t="s">
        <v>13</v>
      </c>
      <c r="G9" t="s">
        <v>9</v>
      </c>
      <c r="H9" t="s">
        <v>10</v>
      </c>
    </row>
    <row r="10" spans="1:8">
      <c r="A10" s="4">
        <f>0.002</f>
        <v>2E-3</v>
      </c>
      <c r="B10">
        <v>0.18160307290932076</v>
      </c>
      <c r="C10" s="5">
        <f>0.00001523*$B$7^1.67/$B$6</f>
        <v>4.1591538628414648</v>
      </c>
      <c r="D10" s="4">
        <f>2*C10/A10</f>
        <v>4159.1538628414646</v>
      </c>
      <c r="E10">
        <f>D10*($B$8-B10)/(0.08205*$B$7*1000)*2*12</f>
        <v>1.9192718099049516E-2</v>
      </c>
      <c r="F10">
        <f>$B$5*EXP(-$B$3*1000/(1.987*$B$7))*(B10)^$B$2</f>
        <v>1.9192682181786498E-2</v>
      </c>
      <c r="G10">
        <f>ABS(1-E10/F10)</f>
        <v>1.8714040423972733E-6</v>
      </c>
      <c r="H10" s="1">
        <f>1-B10/$B$8</f>
        <v>0.13522346233656779</v>
      </c>
    </row>
    <row r="11" spans="1:8">
      <c r="A11" s="4">
        <f>0.005</f>
        <v>5.0000000000000001E-3</v>
      </c>
      <c r="B11">
        <v>0.14628410815342349</v>
      </c>
      <c r="C11" s="5">
        <f>0.00001523*$B$7^1.67/$B$6</f>
        <v>4.1591538628414648</v>
      </c>
      <c r="D11" s="4">
        <f>2*C11/A11</f>
        <v>1663.6615451365858</v>
      </c>
      <c r="E11">
        <f>D11*($B$8-B11)/(0.08205*$B$7*1000)*2*12</f>
        <v>1.7225541999468789E-2</v>
      </c>
      <c r="F11">
        <f>$B$5*EXP(-$B$3*1000/(1.987*$B$7))*(B11)^$B$2</f>
        <v>1.7225532226002323E-2</v>
      </c>
      <c r="G11">
        <f>ABS(1-E11/F11)</f>
        <v>5.673825538288213E-7</v>
      </c>
      <c r="H11" s="1">
        <f>1-B11/$B$8</f>
        <v>0.30340900879322141</v>
      </c>
    </row>
    <row r="12" spans="1:8">
      <c r="A12" s="4">
        <f>0.01</f>
        <v>0.01</v>
      </c>
      <c r="B12">
        <v>0.10304634489603963</v>
      </c>
      <c r="C12" s="5">
        <f>0.00001523*$B$7^1.67/$B$6</f>
        <v>4.1591538628414648</v>
      </c>
      <c r="D12" s="4">
        <f>2*C12/A12</f>
        <v>831.8307725682929</v>
      </c>
      <c r="E12">
        <f>D12*($B$8-B12)/(0.08205*$B$7*1000)*2*12</f>
        <v>1.4457418899716447E-2</v>
      </c>
      <c r="F12">
        <f>$B$5*EXP(-$B$3*1000/(1.987*$B$7))*(B12)^$B$2</f>
        <v>1.4457405795836823E-2</v>
      </c>
      <c r="G12">
        <f>ABS(1-E12/F12)</f>
        <v>9.0637835081786022E-7</v>
      </c>
      <c r="H12" s="1">
        <f>1-B12/$B$8</f>
        <v>0.50930311954266849</v>
      </c>
    </row>
    <row r="13" spans="1:8">
      <c r="A13" s="4">
        <f>0.02</f>
        <v>0.02</v>
      </c>
      <c r="B13" s="4">
        <v>5.4473854496467973E-2</v>
      </c>
      <c r="C13" s="5">
        <f>0.00001523*$B$7^1.67/$B$6</f>
        <v>4.1591538628414648</v>
      </c>
      <c r="D13" s="4">
        <f>2*C13/A13</f>
        <v>415.91538628414645</v>
      </c>
      <c r="E13">
        <f>D13*($B$8-B13)/(0.08205*$B$7*1000)*2*12</f>
        <v>1.051159323735704E-2</v>
      </c>
      <c r="F13">
        <f>$B$5*EXP(-$B$3*1000/(1.987*$B$7))*(B13)^$B$2</f>
        <v>1.0511583111649559E-2</v>
      </c>
      <c r="G13">
        <f>ABS(1-E13/F13)</f>
        <v>9.6329043630660749E-7</v>
      </c>
      <c r="H13" s="1">
        <f>1-B13/$B$8</f>
        <v>0.74060069287396202</v>
      </c>
    </row>
    <row r="14" spans="1:8">
      <c r="A14" s="4">
        <f>0.05</f>
        <v>0.05</v>
      </c>
      <c r="B14" s="4">
        <v>1.3861929964108769E-2</v>
      </c>
      <c r="C14" s="5">
        <f>0.00001523*$B$7^1.67/$B$6</f>
        <v>4.1591538628414648</v>
      </c>
      <c r="D14" s="4">
        <f>2*C14/A14</f>
        <v>166.36615451365859</v>
      </c>
      <c r="E14">
        <f>D14*($B$8-B14)/(0.08205*$B$7*1000)*2*12</f>
        <v>5.3025775284341855E-3</v>
      </c>
      <c r="F14">
        <f>$B$5*EXP(-$B$3*1000/(1.987*$B$7))*(B14)^$B$2</f>
        <v>5.3025640782052175E-3</v>
      </c>
      <c r="G14">
        <f>ABS(1-E14/F14)</f>
        <v>2.5365518963038625E-6</v>
      </c>
      <c r="H14" s="1">
        <f>1-B14/$B$8</f>
        <v>0.93399080969472015</v>
      </c>
    </row>
    <row r="15" spans="1:8">
      <c r="G15">
        <f>SUM(G10:G14)</f>
        <v>6.8450072796544248E-6</v>
      </c>
    </row>
    <row r="17" spans="1:2">
      <c r="B17" t="s">
        <v>25</v>
      </c>
    </row>
    <row r="18" spans="1:2">
      <c r="A18" t="s">
        <v>24</v>
      </c>
      <c r="B18" t="s">
        <v>26</v>
      </c>
    </row>
    <row r="19" spans="1:2">
      <c r="A19" s="7">
        <f>A10*10000</f>
        <v>20</v>
      </c>
      <c r="B19" s="1">
        <f>H10</f>
        <v>0.13522346233656779</v>
      </c>
    </row>
    <row r="20" spans="1:2">
      <c r="A20" s="7">
        <f>A11*10000</f>
        <v>50</v>
      </c>
      <c r="B20" s="1">
        <f>H11</f>
        <v>0.30340900879322141</v>
      </c>
    </row>
    <row r="21" spans="1:2">
      <c r="A21" s="7">
        <f>A12*10000</f>
        <v>100</v>
      </c>
      <c r="B21" s="1">
        <f>H12</f>
        <v>0.50930311954266849</v>
      </c>
    </row>
    <row r="22" spans="1:2">
      <c r="A22" s="7">
        <f>A13*10000</f>
        <v>200</v>
      </c>
      <c r="B22" s="1">
        <f>H13</f>
        <v>0.74060069287396202</v>
      </c>
    </row>
    <row r="23" spans="1:2">
      <c r="A23" s="7">
        <f>A14*10000</f>
        <v>500</v>
      </c>
      <c r="B23" s="1">
        <f>H14</f>
        <v>0.93399080969472015</v>
      </c>
    </row>
    <row r="24" spans="1:2">
      <c r="A24" s="7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topLeftCell="A11" workbookViewId="0">
      <selection activeCell="L8" sqref="L8"/>
    </sheetView>
  </sheetViews>
  <sheetFormatPr defaultColWidth="11.42578125" defaultRowHeight="12"/>
  <sheetData>
    <row r="1" spans="1:8">
      <c r="A1" t="s">
        <v>3</v>
      </c>
      <c r="B1">
        <v>0.8</v>
      </c>
    </row>
    <row r="2" spans="1:8">
      <c r="A2" t="s">
        <v>0</v>
      </c>
      <c r="B2">
        <v>0.5</v>
      </c>
    </row>
    <row r="3" spans="1:8">
      <c r="A3" t="s">
        <v>1</v>
      </c>
      <c r="B3">
        <f>-5.9+0.355*B1*100</f>
        <v>22.5</v>
      </c>
      <c r="C3" s="3" t="s">
        <v>14</v>
      </c>
      <c r="D3">
        <f>B3*4.194</f>
        <v>94.364999999999995</v>
      </c>
      <c r="E3" t="s">
        <v>15</v>
      </c>
    </row>
    <row r="4" spans="1:8">
      <c r="A4" t="s">
        <v>17</v>
      </c>
      <c r="B4">
        <f>(2.8-0.076*B1*100)</f>
        <v>-3.2800000000000002</v>
      </c>
      <c r="C4" s="3" t="s">
        <v>16</v>
      </c>
    </row>
    <row r="5" spans="1:8">
      <c r="A5" t="s">
        <v>2</v>
      </c>
      <c r="B5" s="2">
        <f>EXP(B4+B3*1000/(1.987*1750))</f>
        <v>24.303746781430529</v>
      </c>
      <c r="C5" s="3" t="s">
        <v>16</v>
      </c>
      <c r="E5">
        <f>B5/1000*100^2/SQRT(101000)</f>
        <v>0.76473777788639985</v>
      </c>
    </row>
    <row r="6" spans="1:8">
      <c r="A6" t="s">
        <v>8</v>
      </c>
      <c r="B6" s="2">
        <v>10</v>
      </c>
      <c r="C6" t="s">
        <v>6</v>
      </c>
    </row>
    <row r="7" spans="1:8">
      <c r="A7" t="s">
        <v>4</v>
      </c>
      <c r="B7" s="2">
        <v>1800</v>
      </c>
    </row>
    <row r="8" spans="1:8">
      <c r="A8" t="s">
        <v>5</v>
      </c>
      <c r="B8" s="2">
        <f>0.1*B6</f>
        <v>1</v>
      </c>
      <c r="C8" t="s">
        <v>6</v>
      </c>
    </row>
    <row r="9" spans="1:8">
      <c r="A9" t="s">
        <v>20</v>
      </c>
      <c r="B9" t="s">
        <v>7</v>
      </c>
      <c r="C9" t="s">
        <v>18</v>
      </c>
      <c r="D9" t="s">
        <v>59</v>
      </c>
      <c r="E9" t="s">
        <v>12</v>
      </c>
      <c r="F9" t="s">
        <v>13</v>
      </c>
      <c r="G9" t="s">
        <v>9</v>
      </c>
      <c r="H9" t="s">
        <v>10</v>
      </c>
    </row>
    <row r="10" spans="1:8">
      <c r="A10" s="4">
        <f>0.002</f>
        <v>2E-3</v>
      </c>
      <c r="B10">
        <v>0.52857857953622234</v>
      </c>
      <c r="C10" s="5">
        <f>0.00001523*$B$7^1.67/$B$6</f>
        <v>0.41591538628414648</v>
      </c>
      <c r="D10" s="4">
        <f>2*C10/A10</f>
        <v>415.91538628414645</v>
      </c>
      <c r="E10">
        <f>D10*($B$8-B10)/(0.08205*$B$7*1000)*2*12</f>
        <v>3.186210395203138E-2</v>
      </c>
      <c r="F10">
        <f>$B$5*EXP(-$B$3*1000/(1.987*$B$7))*(B10)^$B$2</f>
        <v>3.2743783115297014E-2</v>
      </c>
      <c r="G10">
        <f>ABS(1-E10/F10)</f>
        <v>2.6926612607989564E-2</v>
      </c>
      <c r="H10" s="1">
        <f>1-B10/$B$8</f>
        <v>0.47142142046377766</v>
      </c>
    </row>
    <row r="11" spans="1:8">
      <c r="A11" s="4">
        <f>0.005</f>
        <v>5.0000000000000001E-3</v>
      </c>
      <c r="B11">
        <v>0.22558934194442565</v>
      </c>
      <c r="C11" s="5">
        <f>0.00001523*$B$7^1.67/$B$6</f>
        <v>0.41591538628414648</v>
      </c>
      <c r="D11" s="4">
        <f>2*C11/A11</f>
        <v>166.36615451365859</v>
      </c>
      <c r="E11">
        <f>D11*($B$8-B11)/(0.08205*$B$7*1000)*2*12</f>
        <v>2.093613214626816E-2</v>
      </c>
      <c r="F11">
        <f>$B$5*EXP(-$B$3*1000/(1.987*$B$7))*(B11)^$B$2</f>
        <v>2.1391112115002157E-2</v>
      </c>
      <c r="G11">
        <f>ABS(1-E11/F11)</f>
        <v>2.1269579921228465E-2</v>
      </c>
      <c r="H11" s="1">
        <f>1-B11/$B$8</f>
        <v>0.7744106580555743</v>
      </c>
    </row>
    <row r="12" spans="1:8">
      <c r="A12" s="4">
        <f>0.01</f>
        <v>0.01</v>
      </c>
      <c r="B12">
        <v>8.4311918560202245E-2</v>
      </c>
      <c r="C12" s="5">
        <f>0.00001523*$B$7^1.67/$B$6</f>
        <v>0.41591538628414648</v>
      </c>
      <c r="D12" s="4">
        <f>2*C12/A12</f>
        <v>83.183077256829293</v>
      </c>
      <c r="E12">
        <f>D12*($B$8-B12)/(0.08205*$B$7*1000)*2*12</f>
        <v>1.2377778171288153E-2</v>
      </c>
      <c r="F12">
        <f>$B$5*EXP(-$B$3*1000/(1.987*$B$7))*(B12)^$B$2</f>
        <v>1.3077314286933298E-2</v>
      </c>
      <c r="G12">
        <f>ABS(1-E12/F12)</f>
        <v>5.3492337975245663E-2</v>
      </c>
      <c r="H12" s="1">
        <f>1-B12/$B$8</f>
        <v>0.91568808143979774</v>
      </c>
    </row>
    <row r="13" spans="1:8">
      <c r="A13" s="4">
        <f>0.02</f>
        <v>0.02</v>
      </c>
      <c r="B13" s="4">
        <v>2.1560041422114623E-2</v>
      </c>
      <c r="C13" s="5">
        <f>0.00001523*$B$7^1.67/$B$6</f>
        <v>0.41591538628414648</v>
      </c>
      <c r="D13" s="4">
        <f>2*C13/A13</f>
        <v>41.591538628414646</v>
      </c>
      <c r="E13">
        <f>D13*($B$8-B13)/(0.08205*$B$7*1000)*2*12</f>
        <v>6.6130121198905607E-3</v>
      </c>
      <c r="F13">
        <f>$B$5*EXP(-$B$3*1000/(1.987*$B$7))*(B13)^$B$2</f>
        <v>6.6130052990203371E-3</v>
      </c>
      <c r="G13">
        <f>ABS(1-E13/F13)</f>
        <v>1.0314327474336693E-6</v>
      </c>
      <c r="H13" s="1">
        <f>1-B13/$B$8</f>
        <v>0.97843995857788535</v>
      </c>
    </row>
    <row r="14" spans="1:8">
      <c r="A14" s="4">
        <f>0.05</f>
        <v>0.05</v>
      </c>
      <c r="B14" s="4">
        <v>3.5775780604462796E-3</v>
      </c>
      <c r="C14" s="5">
        <f>0.00001523*$B$7^1.67/$B$6</f>
        <v>0.41591538628414648</v>
      </c>
      <c r="D14" s="4">
        <f>2*C14/A14</f>
        <v>16.636615451365859</v>
      </c>
      <c r="E14">
        <f>D14*($B$8-B14)/(0.08205*$B$7*1000)*2*12</f>
        <v>2.6938202983427945E-3</v>
      </c>
      <c r="F14">
        <f>$B$5*EXP(-$B$3*1000/(1.987*$B$7))*(B14)^$B$2</f>
        <v>2.6938203818806673E-3</v>
      </c>
      <c r="G14">
        <f>ABS(1-E14/F14)</f>
        <v>3.1010929046892954E-8</v>
      </c>
      <c r="H14" s="1">
        <f>1-B14/$B$8</f>
        <v>0.99642242193955377</v>
      </c>
    </row>
    <row r="15" spans="1:8">
      <c r="G15">
        <f>SUM(G10:G14)</f>
        <v>0.10168959294814017</v>
      </c>
    </row>
    <row r="17" spans="1:2">
      <c r="B17" t="s">
        <v>25</v>
      </c>
    </row>
    <row r="18" spans="1:2">
      <c r="A18" t="s">
        <v>24</v>
      </c>
      <c r="B18" t="s">
        <v>69</v>
      </c>
    </row>
    <row r="19" spans="1:2">
      <c r="A19" s="7">
        <f>A10*10000</f>
        <v>20</v>
      </c>
      <c r="B19" s="1">
        <f>H10</f>
        <v>0.47142142046377766</v>
      </c>
    </row>
    <row r="20" spans="1:2">
      <c r="A20" s="7">
        <f>A11*10000</f>
        <v>50</v>
      </c>
      <c r="B20" s="1">
        <f>H11</f>
        <v>0.7744106580555743</v>
      </c>
    </row>
    <row r="21" spans="1:2">
      <c r="A21" s="7">
        <f>A12*10000</f>
        <v>100</v>
      </c>
      <c r="B21" s="1">
        <f>H12</f>
        <v>0.91568808143979774</v>
      </c>
    </row>
    <row r="22" spans="1:2">
      <c r="A22" s="7">
        <f>A13*10000</f>
        <v>200</v>
      </c>
      <c r="B22" s="1">
        <f>H13</f>
        <v>0.97843995857788535</v>
      </c>
    </row>
    <row r="23" spans="1:2">
      <c r="A23" s="7">
        <f>A14*10000</f>
        <v>500</v>
      </c>
      <c r="B23" s="1">
        <f>H14</f>
        <v>0.99642242193955377</v>
      </c>
    </row>
    <row r="24" spans="1:2">
      <c r="A24" s="7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"/>
  <sheetViews>
    <sheetView workbookViewId="0">
      <selection activeCell="K13" sqref="K13"/>
    </sheetView>
  </sheetViews>
  <sheetFormatPr defaultColWidth="11.42578125" defaultRowHeight="12"/>
  <cols>
    <col min="1" max="4" width="11.42578125" customWidth="1"/>
    <col min="5" max="7" width="11.42578125" hidden="1" customWidth="1"/>
  </cols>
  <sheetData>
    <row r="1" spans="1:18">
      <c r="A1" t="s">
        <v>3</v>
      </c>
      <c r="B1">
        <v>0.8</v>
      </c>
    </row>
    <row r="2" spans="1:18">
      <c r="A2" t="s">
        <v>0</v>
      </c>
      <c r="B2">
        <v>0.5</v>
      </c>
    </row>
    <row r="3" spans="1:18">
      <c r="A3" t="s">
        <v>1</v>
      </c>
      <c r="B3">
        <f>-5.9+0.355*B1*100</f>
        <v>22.5</v>
      </c>
      <c r="C3" s="3" t="s">
        <v>14</v>
      </c>
      <c r="D3">
        <f>B3*4.194</f>
        <v>94.364999999999995</v>
      </c>
      <c r="E3" t="s">
        <v>15</v>
      </c>
    </row>
    <row r="4" spans="1:18">
      <c r="A4" t="s">
        <v>17</v>
      </c>
      <c r="B4">
        <f>(2.8-0.076*B1*100)</f>
        <v>-3.2800000000000002</v>
      </c>
      <c r="C4" s="3" t="s">
        <v>16</v>
      </c>
    </row>
    <row r="5" spans="1:18">
      <c r="A5" t="s">
        <v>2</v>
      </c>
      <c r="B5" s="2">
        <f>EXP(B4+B3*1000/(1.987*1750))</f>
        <v>24.303746781430529</v>
      </c>
      <c r="C5" s="3" t="s">
        <v>16</v>
      </c>
      <c r="E5">
        <f>B5/1000*100^2/SQRT(101000)</f>
        <v>0.76473777788639985</v>
      </c>
    </row>
    <row r="6" spans="1:18">
      <c r="A6" t="s">
        <v>8</v>
      </c>
      <c r="B6" s="2">
        <v>1</v>
      </c>
      <c r="C6" t="s">
        <v>6</v>
      </c>
    </row>
    <row r="7" spans="1:18">
      <c r="A7" s="8" t="s">
        <v>28</v>
      </c>
      <c r="B7" s="2">
        <v>1800</v>
      </c>
      <c r="C7" s="3" t="s">
        <v>32</v>
      </c>
    </row>
    <row r="8" spans="1:18">
      <c r="A8" t="s">
        <v>5</v>
      </c>
      <c r="B8" s="2">
        <v>0.1</v>
      </c>
      <c r="C8" t="s">
        <v>6</v>
      </c>
    </row>
    <row r="9" spans="1:18">
      <c r="A9" t="s">
        <v>31</v>
      </c>
      <c r="B9" s="2">
        <v>1000</v>
      </c>
      <c r="C9" t="s">
        <v>32</v>
      </c>
    </row>
    <row r="10" spans="1:18">
      <c r="A10" t="s">
        <v>35</v>
      </c>
      <c r="B10" s="2">
        <v>0.8</v>
      </c>
    </row>
    <row r="11" spans="1:18">
      <c r="A11" t="s">
        <v>36</v>
      </c>
      <c r="B11" s="4">
        <v>5.6699999999999998E-8</v>
      </c>
      <c r="C11" t="s">
        <v>37</v>
      </c>
    </row>
    <row r="12" spans="1:18">
      <c r="B12" s="4">
        <f>B11*0.23901/100^2/1000</f>
        <v>1.3551866999999998E-15</v>
      </c>
      <c r="C12" t="s">
        <v>38</v>
      </c>
    </row>
    <row r="13" spans="1:18">
      <c r="A13" t="s">
        <v>20</v>
      </c>
      <c r="B13" t="s">
        <v>29</v>
      </c>
      <c r="C13" t="s">
        <v>30</v>
      </c>
      <c r="D13" t="s">
        <v>7</v>
      </c>
      <c r="E13" t="s">
        <v>18</v>
      </c>
      <c r="F13" t="s">
        <v>19</v>
      </c>
      <c r="G13" t="s">
        <v>12</v>
      </c>
      <c r="H13" t="s">
        <v>13</v>
      </c>
      <c r="I13" t="s">
        <v>9</v>
      </c>
      <c r="J13" t="s">
        <v>10</v>
      </c>
      <c r="K13" t="s">
        <v>60</v>
      </c>
      <c r="L13" t="s">
        <v>34</v>
      </c>
      <c r="M13" t="s">
        <v>39</v>
      </c>
      <c r="N13" t="s">
        <v>40</v>
      </c>
      <c r="O13" t="s">
        <v>41</v>
      </c>
      <c r="P13" t="s">
        <v>43</v>
      </c>
      <c r="Q13" t="s">
        <v>29</v>
      </c>
      <c r="R13" t="s">
        <v>42</v>
      </c>
    </row>
    <row r="14" spans="1:18">
      <c r="A14" s="4">
        <f>0.002</f>
        <v>2E-3</v>
      </c>
      <c r="B14" s="2">
        <v>1900</v>
      </c>
      <c r="C14" s="4">
        <v>914.82753295061457</v>
      </c>
      <c r="D14">
        <v>4.1480966253234205E-2</v>
      </c>
      <c r="E14" s="5">
        <f>0.00001523*C14^1.67/$B$6</f>
        <v>1.3431867904665837</v>
      </c>
      <c r="F14" s="4">
        <f>2*E14/A14</f>
        <v>1343.1867904665837</v>
      </c>
      <c r="G14">
        <f>F14*($B$8/(0.08205*$B$7*1000)-D14/(0.08205*$B$7*1000))*2*12</f>
        <v>1.2773023460414229E-2</v>
      </c>
      <c r="H14">
        <f>$B$5*EXP(-$B$3*1000/(1.987*$B$14))*(D14)^$B$2</f>
        <v>1.2773008459881561E-2</v>
      </c>
      <c r="I14">
        <f>ABS(1-G14/H14)</f>
        <v>1.1743930738994379E-6</v>
      </c>
      <c r="J14" s="1">
        <f>1-D14/B14/($B$8/$B$7)</f>
        <v>0.6070224249693601</v>
      </c>
      <c r="K14" s="4">
        <f>(0.00000076893*C14^0.7722)/1000</f>
        <v>1.488102876851937E-7</v>
      </c>
      <c r="L14" s="4">
        <f>K14*2/A14</f>
        <v>1.4881028768519371E-4</v>
      </c>
      <c r="M14" s="4">
        <f>L14*($B$7-B14)</f>
        <v>-1.4881028768519371E-2</v>
      </c>
      <c r="N14" s="4">
        <f>$B$10*$B$12*($B$9^4-B14^4)</f>
        <v>-1.3044593514456001E-2</v>
      </c>
      <c r="O14" s="4">
        <f>H14*26.4/12</f>
        <v>2.8100618611739431E-2</v>
      </c>
      <c r="P14" s="4">
        <f>M14+N14+O14</f>
        <v>1.7499632876406129E-4</v>
      </c>
      <c r="Q14" s="2">
        <f>$B$7+1/$L$14*($B$12*$B$10*($B$9^4-B14^4)+H14*26.4/12)</f>
        <v>1901.1759692927567</v>
      </c>
      <c r="R14" s="4">
        <f>(B14-Q14)^2</f>
        <v>1.3829037775066704</v>
      </c>
    </row>
    <row r="15" spans="1:18">
      <c r="A15" s="4">
        <f>0.002</f>
        <v>2E-3</v>
      </c>
      <c r="B15" s="2">
        <f>Q14</f>
        <v>1901.1759692927567</v>
      </c>
      <c r="C15" s="4">
        <v>914.82753295061457</v>
      </c>
      <c r="D15">
        <v>4.1480974670972615E-2</v>
      </c>
      <c r="E15" s="5">
        <f>0.00001523*C15^1.67/$B$6</f>
        <v>1.3431867904665837</v>
      </c>
      <c r="F15" s="4">
        <f>2*E15/A15</f>
        <v>1343.1867904665837</v>
      </c>
      <c r="G15">
        <f>F15*($B$8/(0.08205*$B$7*1000)-D15/(0.08205*$B$7*1000))*2*12</f>
        <v>1.2773021623063825E-2</v>
      </c>
      <c r="H15">
        <f>$B$5*EXP(-$B$3*1000/(1.987*$B$14))*(D15)^$B$2</f>
        <v>1.2773009755895709E-2</v>
      </c>
      <c r="I15">
        <f>ABS(1-G15/H15)</f>
        <v>9.2908158233484528E-7</v>
      </c>
      <c r="J15" s="1">
        <f>1-D15/B15/($B$8/$B$7)</f>
        <v>0.60726542090931956</v>
      </c>
      <c r="K15" s="4">
        <f>(0.00000076893*C15^0.7722)/1000</f>
        <v>1.488102876851937E-7</v>
      </c>
      <c r="L15" s="4">
        <f>K15*2/A15</f>
        <v>1.4881028768519371E-4</v>
      </c>
      <c r="M15" s="4">
        <f>L15*($B$7-B15)</f>
        <v>-1.5056025097283448E-2</v>
      </c>
      <c r="N15" s="4">
        <f>$B$10*$B$12*($B$9^4-B15^4)</f>
        <v>-1.3079604881644348E-2</v>
      </c>
      <c r="O15" s="4">
        <f>H15*26.4/12</f>
        <v>2.8100621462970557E-2</v>
      </c>
      <c r="P15" s="4">
        <f>M15+N15+O15</f>
        <v>-3.5008515957238306E-5</v>
      </c>
      <c r="Q15" s="2">
        <f>$B$7+1/$L$14*($B$12*$B$10*($B$9^4-B15^4)+H15*26.4/12)</f>
        <v>1900.9407132731508</v>
      </c>
      <c r="R15" s="4">
        <f>(B15-Q15)^2</f>
        <v>5.5345394760817734E-2</v>
      </c>
    </row>
    <row r="16" spans="1:18">
      <c r="A16" s="4">
        <f>0.002</f>
        <v>2E-3</v>
      </c>
      <c r="B16" s="2">
        <f>Q15</f>
        <v>1900.9407132731508</v>
      </c>
      <c r="C16" s="4">
        <v>914.82753295061457</v>
      </c>
      <c r="D16">
        <v>4.1480974670972615E-2</v>
      </c>
      <c r="E16" s="5">
        <f>0.00001523*C16^1.67/$B$6</f>
        <v>1.3431867904665837</v>
      </c>
      <c r="F16" s="4">
        <f>2*E16/A16</f>
        <v>1343.1867904665837</v>
      </c>
      <c r="G16">
        <f>F16*($B$8/(0.08205*$B$7*1000)-D16/(0.08205*$B$7*1000))*2*12</f>
        <v>1.2773021623063825E-2</v>
      </c>
      <c r="H16">
        <f>$B$5*EXP(-$B$3*1000/(1.987*$B$14))*(D16)^$B$2</f>
        <v>1.2773009755895709E-2</v>
      </c>
      <c r="I16">
        <f>ABS(1-G16/H16)</f>
        <v>9.2908158233484528E-7</v>
      </c>
      <c r="J16" s="1">
        <f>1-D16/B16/($B$8/$B$7)</f>
        <v>0.60721681698748586</v>
      </c>
      <c r="K16" s="4">
        <f>(0.00000076893*C16^0.7722)/1000</f>
        <v>1.488102876851937E-7</v>
      </c>
      <c r="L16" s="4">
        <f>K16*2/A16</f>
        <v>1.4881028768519371E-4</v>
      </c>
      <c r="M16" s="4">
        <f>L16*($B$7-B16)</f>
        <v>-1.5021016581326218E-2</v>
      </c>
      <c r="N16" s="4">
        <f>$B$10*$B$12*($B$9^4-B16^4)</f>
        <v>-1.3072595556750912E-2</v>
      </c>
      <c r="O16" s="4">
        <f>H16*26.4/12</f>
        <v>2.8100621462970557E-2</v>
      </c>
      <c r="P16" s="4">
        <f>M16+N16+O16</f>
        <v>7.009324893426927E-6</v>
      </c>
      <c r="Q16" s="2">
        <f>$B$7+1/$L$14*($B$12*$B$10*($B$9^4-B16^4)+H16*26.4/12)</f>
        <v>1900.9878156946463</v>
      </c>
      <c r="R16" s="4">
        <f>(B16-Q16)^2</f>
        <v>2.2186381107432997E-3</v>
      </c>
    </row>
    <row r="17" spans="1:18">
      <c r="A17" s="4">
        <f>0.002</f>
        <v>2E-3</v>
      </c>
      <c r="B17" s="2">
        <f>Q16</f>
        <v>1900.9878156946463</v>
      </c>
      <c r="C17" s="4">
        <v>914.82753295061457</v>
      </c>
      <c r="D17">
        <v>4.1480974670972615E-2</v>
      </c>
      <c r="E17" s="5">
        <f>0.00001523*C17^1.67/$B$6</f>
        <v>1.3431867904665837</v>
      </c>
      <c r="F17" s="4">
        <f>2*E17/A17</f>
        <v>1343.1867904665837</v>
      </c>
      <c r="G17">
        <f>F17*($B$8/(0.08205*$B$7*1000)-D17/(0.08205*$B$7*1000))*2*12</f>
        <v>1.2773021623063825E-2</v>
      </c>
      <c r="H17">
        <f>$B$5*EXP(-$B$3*1000/(1.987*$B$14))*(D17)^$B$2</f>
        <v>1.2773009755895709E-2</v>
      </c>
      <c r="I17">
        <f>ABS(1-G17/H17)</f>
        <v>9.2908158233484528E-7</v>
      </c>
      <c r="J17" s="1">
        <f>1-D17/B17/($B$8/$B$7)</f>
        <v>0.6072265493165887</v>
      </c>
      <c r="K17" s="4">
        <f>(0.00000076893*C17^0.7722)/1000</f>
        <v>1.488102876851937E-7</v>
      </c>
      <c r="L17" s="4">
        <f>K17*2/A17</f>
        <v>1.4881028768519371E-4</v>
      </c>
      <c r="M17" s="4">
        <f>L17*($B$7-B17)</f>
        <v>-1.5028025906219638E-2</v>
      </c>
      <c r="N17" s="4">
        <f>$B$10*$B$12*($B$9^4-B17^4)</f>
        <v>-1.3073998739387574E-2</v>
      </c>
      <c r="O17" s="4">
        <f>H17*26.4/12</f>
        <v>2.8100621462970557E-2</v>
      </c>
      <c r="P17" s="4">
        <f>M17+N17+O17</f>
        <v>-1.4031826366528444E-6</v>
      </c>
      <c r="Q17" s="2">
        <f>$B$7+1/$L$14*($B$12*$B$10*($B$9^4-B17^4)+H17*26.4/12)</f>
        <v>1900.9783863557311</v>
      </c>
      <c r="R17" s="4">
        <f>(B17-Q17)^2</f>
        <v>8.8912432377651361E-5</v>
      </c>
    </row>
    <row r="18" spans="1:18">
      <c r="A18" s="4"/>
      <c r="B18" s="4"/>
      <c r="C18" s="4"/>
      <c r="E18" s="5"/>
      <c r="F18" s="4"/>
      <c r="J18" s="1"/>
      <c r="K18" s="4"/>
      <c r="L18" s="4"/>
      <c r="M18" s="4"/>
      <c r="N18" s="4"/>
      <c r="O18" s="4"/>
      <c r="P18" s="4"/>
      <c r="Q18" s="4"/>
      <c r="R18" s="4"/>
    </row>
    <row r="19" spans="1:18">
      <c r="A19" s="4"/>
      <c r="B19" s="4"/>
      <c r="C19" s="4"/>
      <c r="E19" s="5"/>
      <c r="F19" s="4"/>
      <c r="J19" s="1"/>
      <c r="K19" s="4"/>
      <c r="L19" s="4"/>
      <c r="M19" s="4"/>
      <c r="N19" s="4"/>
      <c r="O19" s="4"/>
      <c r="P19" s="4"/>
      <c r="Q19" s="4"/>
      <c r="R19" s="4"/>
    </row>
    <row r="20" spans="1:18">
      <c r="A20" s="4">
        <f>0.005</f>
        <v>5.0000000000000001E-3</v>
      </c>
      <c r="B20" s="2">
        <v>1958</v>
      </c>
      <c r="C20" s="4">
        <v>1904.9029237423258</v>
      </c>
      <c r="D20">
        <v>5.1915136726314953E-2</v>
      </c>
      <c r="E20" s="5">
        <f>0.00001523*C20^1.67/$B$6</f>
        <v>4.5718035458247144</v>
      </c>
      <c r="F20" s="4">
        <f>2*E20/A20</f>
        <v>1828.7214183298856</v>
      </c>
      <c r="G20">
        <f>F20*($B$8/(0.08205*$B$7*1000)-D20/(0.08205*$B$7*1000))*2*12</f>
        <v>1.4289468919935319E-2</v>
      </c>
      <c r="H20">
        <f>$B$5*EXP(-$B$3*1000/(1.987*$B$14))*(D20)^$B$2</f>
        <v>1.4289458410478083E-2</v>
      </c>
      <c r="I20">
        <f>ABS(1-G20/H20)</f>
        <v>7.3546924816980663E-7</v>
      </c>
      <c r="J20" s="1">
        <f>1-D20/B20/($B$8/$B$7)</f>
        <v>0.52274133755175223</v>
      </c>
      <c r="K20" s="4">
        <f>(0.00000076893*C20^0.7722)/1000</f>
        <v>2.6218305453874032E-7</v>
      </c>
      <c r="L20" s="4">
        <f>K20*2/A20</f>
        <v>1.0487322181549613E-4</v>
      </c>
      <c r="M20" s="4">
        <f>L20*($B$7-B20)</f>
        <v>-1.656996904684839E-2</v>
      </c>
      <c r="N20" s="4">
        <f>$B$10*$B$12*($B$9^4-B20^4)</f>
        <v>-1.4850403001345918E-2</v>
      </c>
      <c r="O20" s="4">
        <f>H20*26.4/12</f>
        <v>3.1436808503051784E-2</v>
      </c>
      <c r="P20" s="4">
        <f>M20+N20+O20</f>
        <v>1.6436454857472749E-5</v>
      </c>
      <c r="Q20" s="2">
        <f>$B$7+1/L20*($B$12*$B$10*($B$9^4-B20^4)+H20*26.4/12)</f>
        <v>1958.1567268991353</v>
      </c>
      <c r="R20" s="4">
        <f>(B20-Q20)^2</f>
        <v>2.4563320912555475E-2</v>
      </c>
    </row>
    <row r="21" spans="1:18">
      <c r="A21" s="4">
        <f>0.005</f>
        <v>5.0000000000000001E-3</v>
      </c>
      <c r="B21" s="2">
        <f>Q20</f>
        <v>1958.1567268991353</v>
      </c>
      <c r="C21" s="4">
        <v>1904.9029237423258</v>
      </c>
      <c r="D21">
        <v>5.1915136726318048E-2</v>
      </c>
      <c r="E21" s="5">
        <f>0.00001523*C21^1.67/$B$6</f>
        <v>4.5718035458247144</v>
      </c>
      <c r="F21" s="4">
        <f>2*E21/A21</f>
        <v>1828.7214183298856</v>
      </c>
      <c r="G21">
        <f>F21*($B$8/(0.08205*$B$7*1000)-D21/(0.08205*$B$7*1000))*2*12</f>
        <v>1.4289468919934397E-2</v>
      </c>
      <c r="H21">
        <f>$B$5*EXP(-$B$3*1000/(1.987*$B$14))*(D21)^$B$2</f>
        <v>1.4289458410478508E-2</v>
      </c>
      <c r="I21">
        <f>ABS(1-G21/H21)</f>
        <v>7.3546915402289414E-7</v>
      </c>
      <c r="J21" s="1">
        <f>1-D21/B21/($B$8/$B$7)</f>
        <v>0.52277953636861285</v>
      </c>
      <c r="K21" s="4">
        <f>(0.00000076893*C21^0.7722)/1000</f>
        <v>2.6218305453874032E-7</v>
      </c>
      <c r="L21" s="4">
        <f>K21*2/A21</f>
        <v>1.0487322181549613E-4</v>
      </c>
      <c r="M21" s="4">
        <f>L21*($B$7-B21)</f>
        <v>-1.6586405501705856E-2</v>
      </c>
      <c r="N21" s="4">
        <f>$B$10*$B$12*($B$9^4-B21^4)</f>
        <v>-1.4855505499502642E-2</v>
      </c>
      <c r="O21" s="4">
        <f>H21*26.4/12</f>
        <v>3.1436808503052714E-2</v>
      </c>
      <c r="P21" s="4">
        <f>M21+N21+O21</f>
        <v>-5.1024981557803994E-6</v>
      </c>
      <c r="Q21" s="2">
        <f>$B$7+1/L21*($B$12*$B$10*($B$9^4-B21^4)+H21*26.4/12)</f>
        <v>1958.1080729332566</v>
      </c>
      <c r="R21" s="4">
        <f>(B21-Q21)^2</f>
        <v>2.3672083957215089E-3</v>
      </c>
    </row>
    <row r="22" spans="1:18">
      <c r="A22" s="4">
        <f>0.005</f>
        <v>5.0000000000000001E-3</v>
      </c>
      <c r="B22" s="2">
        <f>Q21</f>
        <v>1958.1080729332566</v>
      </c>
      <c r="C22" s="4">
        <v>1904.9029237423258</v>
      </c>
      <c r="D22">
        <v>5.1915136726318041E-2</v>
      </c>
      <c r="E22" s="5">
        <f>0.00001523*C22^1.67/$B$6</f>
        <v>4.5718035458247144</v>
      </c>
      <c r="F22" s="4">
        <f>2*E22/A22</f>
        <v>1828.7214183298856</v>
      </c>
      <c r="G22">
        <f>F22*($B$8/(0.08205*$B$7*1000)-D22/(0.08205*$B$7*1000))*2*12</f>
        <v>1.4289468919934399E-2</v>
      </c>
      <c r="H22">
        <f>$B$5*EXP(-$B$3*1000/(1.987*$B$14))*(D22)^$B$2</f>
        <v>1.4289458410478508E-2</v>
      </c>
      <c r="I22">
        <f>ABS(1-G22/H22)</f>
        <v>7.3546915424493875E-7</v>
      </c>
      <c r="J22" s="1">
        <f>1-D22/B22/($B$8/$B$7)</f>
        <v>0.52276767866347651</v>
      </c>
      <c r="K22" s="4">
        <f>(0.00000076893*C22^0.7722)/1000</f>
        <v>2.6218305453874032E-7</v>
      </c>
      <c r="L22" s="4">
        <f>K22*2/A22</f>
        <v>1.0487322181549613E-4</v>
      </c>
      <c r="M22" s="4">
        <f>L22*($B$7-B22)</f>
        <v>-1.6581303003550062E-2</v>
      </c>
      <c r="N22" s="4">
        <f>$B$10*$B$12*($B$9^4-B22^4)</f>
        <v>-1.4853921359664611E-2</v>
      </c>
      <c r="O22" s="4">
        <f>H22*26.4/12</f>
        <v>3.1436808503052714E-2</v>
      </c>
      <c r="P22" s="4">
        <f>M22+N22+O22</f>
        <v>1.5841398380428418E-6</v>
      </c>
      <c r="Q22" s="2">
        <f>$B$7+1/L22*($B$12*$B$10*($B$9^4-B22^4)+H22*26.4/12)</f>
        <v>1958.1231782176239</v>
      </c>
      <c r="R22" s="4">
        <f>(B22-Q22)^2</f>
        <v>2.2816961581811359E-4</v>
      </c>
    </row>
    <row r="23" spans="1:18">
      <c r="A23" s="4">
        <f>0.005</f>
        <v>5.0000000000000001E-3</v>
      </c>
      <c r="B23" s="2">
        <f>Q22</f>
        <v>1958.1231782176239</v>
      </c>
      <c r="C23" s="4">
        <v>1904.9029237423258</v>
      </c>
      <c r="D23">
        <v>5.1915136726318048E-2</v>
      </c>
      <c r="E23" s="5">
        <f>0.00001523*C23^1.67/$B$6</f>
        <v>4.5718035458247144</v>
      </c>
      <c r="F23" s="4">
        <f>2*E23/A23</f>
        <v>1828.7214183298856</v>
      </c>
      <c r="G23">
        <f>F23*($B$8/(0.08205*$B$7*1000)-D23/(0.08205*$B$7*1000))*2*12</f>
        <v>1.4289468919934397E-2</v>
      </c>
      <c r="H23">
        <f>$B$5*EXP(-$B$3*1000/(1.987*$B$14))*(D23)^$B$2</f>
        <v>1.4289458410478508E-2</v>
      </c>
      <c r="I23">
        <f>ABS(1-G23/H23)</f>
        <v>7.3546915402289414E-7</v>
      </c>
      <c r="J23" s="1">
        <f>1-D23/B23/($B$8/$B$7)</f>
        <v>0.52277136011212244</v>
      </c>
      <c r="K23" s="4">
        <f>(0.00000076893*C23^0.7722)/1000</f>
        <v>2.6218305453874032E-7</v>
      </c>
      <c r="L23" s="4">
        <f>K23*2/A23</f>
        <v>1.0487322181549613E-4</v>
      </c>
      <c r="M23" s="4">
        <f>L23*($B$7-B23)</f>
        <v>-1.6582887143388101E-2</v>
      </c>
      <c r="N23" s="4">
        <f>$B$10*$B$12*($B$9^4-B23^4)</f>
        <v>-1.485441316474855E-2</v>
      </c>
      <c r="O23" s="4">
        <f>H23*26.4/12</f>
        <v>3.1436808503052714E-2</v>
      </c>
      <c r="P23" s="4">
        <f>M23+N23+O23</f>
        <v>-4.9180508393531497E-7</v>
      </c>
      <c r="Q23" s="2">
        <f>$B$7+1/L23*($B$12*$B$10*($B$9^4-B23^4)+H23*26.4/12)</f>
        <v>1958.1184886975022</v>
      </c>
      <c r="R23" s="4">
        <f>(B23-Q23)^2</f>
        <v>2.1991598971840507E-5</v>
      </c>
    </row>
    <row r="24" spans="1:18">
      <c r="A24" s="4"/>
      <c r="B24" s="4"/>
      <c r="C24" s="4"/>
      <c r="E24" s="5"/>
      <c r="F24" s="4"/>
      <c r="I24">
        <f>SUM(I20:I23)</f>
        <v>2.9418767104605337E-6</v>
      </c>
      <c r="J24" s="1"/>
      <c r="K24" s="4"/>
      <c r="L24" s="4"/>
      <c r="M24" s="4"/>
      <c r="N24" s="4"/>
      <c r="O24" s="4"/>
      <c r="P24" s="4"/>
      <c r="Q24" s="4"/>
      <c r="R24" s="4"/>
    </row>
    <row r="25" spans="1:18">
      <c r="A25" s="4"/>
      <c r="B25" s="4"/>
      <c r="C25" s="4"/>
      <c r="E25" s="5"/>
      <c r="F25" s="4"/>
      <c r="J25" s="1"/>
      <c r="K25" s="4"/>
      <c r="L25" s="4"/>
      <c r="M25" s="4"/>
      <c r="N25" s="4"/>
      <c r="O25" s="4"/>
      <c r="P25" s="4"/>
      <c r="Q25" s="4"/>
      <c r="R25" s="4"/>
    </row>
    <row r="26" spans="1:18">
      <c r="A26" s="4">
        <f>0.01</f>
        <v>0.01</v>
      </c>
      <c r="B26" s="2">
        <v>2011</v>
      </c>
      <c r="C26" s="4">
        <v>3788.9440974047066</v>
      </c>
      <c r="D26">
        <v>6.5691078019756932E-2</v>
      </c>
      <c r="E26" s="5">
        <f>0.00001523*C26^1.67/$B$6</f>
        <v>14.415353388469997</v>
      </c>
      <c r="F26" s="4">
        <f>2*E26/A26</f>
        <v>2883.0706776939992</v>
      </c>
      <c r="G26">
        <f>F26*($B$8/(0.08205*$B$7*1000)-D26/(0.08205*$B$7*1000))*2*12</f>
        <v>1.6073946283896801E-2</v>
      </c>
      <c r="H26">
        <f>$B$5*EXP(-$B$3*1000/(1.987*$B$14))*(D26)^$B$2</f>
        <v>1.607392590824747E-2</v>
      </c>
      <c r="I26">
        <f>ABS(1-G26/H26)</f>
        <v>1.2676212051143665E-6</v>
      </c>
      <c r="J26" s="1">
        <f>1-D26/B26/($B$8/$B$7)</f>
        <v>0.41201421961430895</v>
      </c>
      <c r="K26" s="4">
        <f>(0.00000076893*C26^0.7722)/1000</f>
        <v>4.4588058021496765E-7</v>
      </c>
      <c r="L26" s="4">
        <f>K26*2/A26</f>
        <v>8.9176116042993534E-5</v>
      </c>
      <c r="M26" s="4">
        <f>L26*($B$7-B26)</f>
        <v>-1.8816160485071634E-2</v>
      </c>
      <c r="N26" s="4">
        <f>$B$10*$B$12*($B$9^4-B26^4)</f>
        <v>-1.6647020904356855E-2</v>
      </c>
      <c r="O26" s="4">
        <f>H26*26.4/12</f>
        <v>3.5362636998144431E-2</v>
      </c>
      <c r="P26" s="4">
        <f>M26+N26+O26</f>
        <v>-1.0054439128405479E-4</v>
      </c>
      <c r="Q26" s="2">
        <f>$B$7+1/L26*($B$12*$B$10*($B$9^4-B26^4)+H26*26.4/12)</f>
        <v>2009.8725188341284</v>
      </c>
      <c r="R26" s="4">
        <f>(B26-Q26)^2</f>
        <v>1.2712137793951512</v>
      </c>
    </row>
    <row r="27" spans="1:18">
      <c r="A27" s="4">
        <f>0.01</f>
        <v>0.01</v>
      </c>
      <c r="B27" s="2">
        <f>Q26</f>
        <v>2009.8725188341284</v>
      </c>
      <c r="C27" s="4">
        <v>3788.9440974047066</v>
      </c>
      <c r="D27">
        <v>6.5691078019761096E-2</v>
      </c>
      <c r="E27" s="5">
        <f>0.00001523*C27^1.67/$B$6</f>
        <v>14.415353388469997</v>
      </c>
      <c r="F27" s="4">
        <f>2*E27/A27</f>
        <v>2883.0706776939992</v>
      </c>
      <c r="G27">
        <f>F27*($B$8/(0.08205*$B$7*1000)-D27/(0.08205*$B$7*1000))*2*12</f>
        <v>1.6073946283894851E-2</v>
      </c>
      <c r="H27">
        <f>$B$5*EXP(-$B$3*1000/(1.987*$B$14))*(D27)^$B$2</f>
        <v>1.607392590824798E-2</v>
      </c>
      <c r="I27">
        <f>ABS(1-G27/H27)</f>
        <v>1.2676210521256337E-6</v>
      </c>
      <c r="J27" s="1">
        <f>1-D27/B27/($B$8/$B$7)</f>
        <v>0.41168437635955124</v>
      </c>
      <c r="K27" s="4">
        <f>(0.00000076893*C27^0.7722)/1000</f>
        <v>4.4588058021496765E-7</v>
      </c>
      <c r="L27" s="4">
        <f>K27*2/A27</f>
        <v>8.9176116042993534E-5</v>
      </c>
      <c r="M27" s="4">
        <f>L27*($B$7-B27)</f>
        <v>-1.8715616093787583E-2</v>
      </c>
      <c r="N27" s="4">
        <f>$B$10*$B$12*($B$9^4-B27^4)</f>
        <v>-1.6607289916403589E-2</v>
      </c>
      <c r="O27" s="4">
        <f>H27*26.4/12</f>
        <v>3.5362636998145555E-2</v>
      </c>
      <c r="P27" s="4">
        <f>M27+N27+O27</f>
        <v>3.9730987954386676E-5</v>
      </c>
      <c r="Q27" s="2">
        <f>$B$7+1/L27*($B$12*$B$10*($B$9^4-B27^4)+H27*26.4/12)</f>
        <v>2010.318052792293</v>
      </c>
      <c r="R27" s="4">
        <f>(B27-Q27)^2</f>
        <v>0.19850050787778017</v>
      </c>
    </row>
    <row r="28" spans="1:18">
      <c r="A28" s="4">
        <f>0.01</f>
        <v>0.01</v>
      </c>
      <c r="B28" s="2">
        <f>Q27</f>
        <v>2010.318052792293</v>
      </c>
      <c r="C28" s="4">
        <v>3788.9440974047066</v>
      </c>
      <c r="D28">
        <v>6.5691078019761096E-2</v>
      </c>
      <c r="E28" s="5">
        <f>0.00001523*C28^1.67/$B$6</f>
        <v>14.415353388469997</v>
      </c>
      <c r="F28" s="4">
        <f>2*E28/A28</f>
        <v>2883.0706776939992</v>
      </c>
      <c r="G28">
        <f>F28*($B$8/(0.08205*$B$7*1000)-D28/(0.08205*$B$7*1000))*2*12</f>
        <v>1.6073946283894851E-2</v>
      </c>
      <c r="H28">
        <f>$B$5*EXP(-$B$3*1000/(1.987*$B$14))*(D28)^$B$2</f>
        <v>1.607392590824798E-2</v>
      </c>
      <c r="I28">
        <f>ABS(1-G28/H28)</f>
        <v>1.2676210521256337E-6</v>
      </c>
      <c r="J28" s="1">
        <f>1-D28/B28/($B$8/$B$7)</f>
        <v>0.41181476099599557</v>
      </c>
      <c r="K28" s="4">
        <f>(0.00000076893*C28^0.7722)/1000</f>
        <v>4.4588058021496765E-7</v>
      </c>
      <c r="L28" s="4">
        <f>K28*2/A28</f>
        <v>8.9176116042993534E-5</v>
      </c>
      <c r="M28" s="4">
        <f>L28*($B$7-B28)</f>
        <v>-1.8755347081741959E-2</v>
      </c>
      <c r="N28" s="4">
        <f>$B$10*$B$12*($B$9^4-B28^4)</f>
        <v>-1.6622981972814733E-2</v>
      </c>
      <c r="O28" s="4">
        <f>H28*26.4/12</f>
        <v>3.5362636998145555E-2</v>
      </c>
      <c r="P28" s="4">
        <f>M28+N28+O28</f>
        <v>-1.5692056411137356E-5</v>
      </c>
      <c r="Q28" s="2">
        <f>$B$7+1/L28*($B$12*$B$10*($B$9^4-B28^4)+H28*26.4/12)</f>
        <v>2010.1420857609012</v>
      </c>
      <c r="R28" s="4">
        <f>(B28-Q28)^2</f>
        <v>3.0964396136840003E-2</v>
      </c>
    </row>
    <row r="29" spans="1:18">
      <c r="A29" s="4">
        <f>0.01</f>
        <v>0.01</v>
      </c>
      <c r="B29" s="2">
        <f>Q28</f>
        <v>2010.1420857609012</v>
      </c>
      <c r="C29" s="4">
        <v>3788.9440974047066</v>
      </c>
      <c r="D29">
        <v>6.5691078019761096E-2</v>
      </c>
      <c r="E29" s="5">
        <f>0.00001523*C29^1.67/$B$6</f>
        <v>14.415353388469997</v>
      </c>
      <c r="F29" s="4">
        <f>2*E29/A29</f>
        <v>2883.0706776939992</v>
      </c>
      <c r="G29">
        <f>F29*($B$8/(0.08205*$B$7*1000)-D29/(0.08205*$B$7*1000))*2*12</f>
        <v>1.6073946283894851E-2</v>
      </c>
      <c r="H29">
        <f>$B$5*EXP(-$B$3*1000/(1.987*$B$14))*(D29)^$B$2</f>
        <v>1.607392590824798E-2</v>
      </c>
      <c r="I29">
        <f>ABS(1-G29/H29)</f>
        <v>1.2676210521256337E-6</v>
      </c>
      <c r="J29" s="1">
        <f>1-D29/B29/($B$8/$B$7)</f>
        <v>0.41176327149624858</v>
      </c>
      <c r="K29" s="4">
        <f>(0.00000076893*C29^0.7722)/1000</f>
        <v>4.4588058021496765E-7</v>
      </c>
      <c r="L29" s="4">
        <f>K29*2/A29</f>
        <v>8.9176116042993534E-5</v>
      </c>
      <c r="M29" s="4">
        <f>L29*($B$7-B29)</f>
        <v>-1.8739655025330822E-2</v>
      </c>
      <c r="N29" s="4">
        <f>$B$10*$B$12*($B$9^4-B29^4)</f>
        <v>-1.6616783028827201E-2</v>
      </c>
      <c r="O29" s="4">
        <f>H29*26.4/12</f>
        <v>3.5362636998145555E-2</v>
      </c>
      <c r="P29" s="4">
        <f>M29+N29+O29</f>
        <v>6.1989439875329011E-6</v>
      </c>
      <c r="Q29" s="2">
        <f>$B$7+1/L29*($B$12*$B$10*($B$9^4-B29^4)+H29*26.4/12)</f>
        <v>2010.2115992614056</v>
      </c>
      <c r="R29" s="4">
        <f>(B29-Q29)^2</f>
        <v>4.8321267523751378E-3</v>
      </c>
    </row>
    <row r="30" spans="1:18">
      <c r="A30" s="4"/>
      <c r="B30" s="4"/>
      <c r="C30" s="4"/>
      <c r="E30" s="5"/>
      <c r="F30" s="4"/>
      <c r="I30">
        <f>SUM(I26:I29)</f>
        <v>5.0704843614912676E-6</v>
      </c>
      <c r="J30" s="1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4"/>
      <c r="C31" s="4"/>
      <c r="E31" s="5"/>
      <c r="F31" s="4"/>
      <c r="J31" s="1"/>
      <c r="K31" s="4"/>
      <c r="L31" s="4"/>
      <c r="M31" s="4"/>
      <c r="N31" s="4"/>
      <c r="O31" s="4"/>
      <c r="P31" s="4"/>
      <c r="Q31" s="4"/>
      <c r="R31" s="4"/>
    </row>
    <row r="32" spans="1:18">
      <c r="A32" s="4">
        <f>0.02</f>
        <v>0.02</v>
      </c>
      <c r="B32" s="2">
        <v>1867</v>
      </c>
      <c r="C32" s="4">
        <f>($B$7+B32)/2</f>
        <v>1833.5</v>
      </c>
      <c r="D32" s="4">
        <v>1.0004229001268706E-2</v>
      </c>
      <c r="E32" s="5">
        <f>0.00001523*C32^1.67/$B$6</f>
        <v>4.2892269908321925</v>
      </c>
      <c r="F32" s="4">
        <f>2*E32/A32</f>
        <v>428.92269908321924</v>
      </c>
      <c r="G32">
        <f>F32*($B$8/(0.08205*$B$7*1000)-D32/(0.08205*$B$7*1000))*2*12</f>
        <v>6.2727977254277683E-3</v>
      </c>
      <c r="H32">
        <f>$B$5*EXP(-$B$3*1000/(1.987*$B$14))*(D32)^$B$2</f>
        <v>6.2727875644984525E-3</v>
      </c>
      <c r="I32">
        <f>ABS(1-G32/H32)</f>
        <v>1.6198427272851035E-6</v>
      </c>
      <c r="J32" s="1">
        <f>1-D32/B32/($B$8/$B$7)</f>
        <v>0.90354787251053204</v>
      </c>
      <c r="K32" s="4">
        <f>(0.00000076893*C32^0.7722)/1000</f>
        <v>2.5456126904557495E-7</v>
      </c>
      <c r="L32" s="4">
        <f>K32*2/A32</f>
        <v>2.5456126904557495E-5</v>
      </c>
      <c r="M32" s="4">
        <f>L32*($B$7-B32)</f>
        <v>-1.7055605026053521E-3</v>
      </c>
      <c r="N32" s="4">
        <f>$B$10*$B$12*($B$9^4-B32^4)</f>
        <v>-1.2088295508470476E-2</v>
      </c>
      <c r="O32" s="4">
        <f>H32*26.4/12</f>
        <v>1.3800132641896596E-2</v>
      </c>
      <c r="P32" s="4">
        <f>M32+N32+O32</f>
        <v>6.2766308207683891E-6</v>
      </c>
      <c r="Q32" s="2">
        <f>$B$7+1/L32*($B$12*$B$10*($B$9^4-B32^4)+H32*26.4/12)</f>
        <v>1867.2465666063144</v>
      </c>
      <c r="R32" s="4">
        <f>(B32-Q32)^2</f>
        <v>6.0795091349422695E-2</v>
      </c>
    </row>
    <row r="33" spans="1:18">
      <c r="A33" s="4">
        <f>0.02</f>
        <v>0.02</v>
      </c>
      <c r="B33" s="2">
        <f>Q32</f>
        <v>1867.2465666063144</v>
      </c>
      <c r="C33" s="4">
        <f>($B$7+B33)/2</f>
        <v>1833.6232833031572</v>
      </c>
      <c r="D33" s="4">
        <v>1.0006066382826494E-2</v>
      </c>
      <c r="E33" s="5">
        <f>0.00001523*C33^1.67/$B$6</f>
        <v>4.2897086375792037</v>
      </c>
      <c r="F33" s="4">
        <f>2*E33/A33</f>
        <v>428.97086375792037</v>
      </c>
      <c r="G33">
        <f>F33*($B$8/(0.08205*$B$7*1000)-D33/(0.08205*$B$7*1000))*2*12</f>
        <v>6.2733740299381465E-3</v>
      </c>
      <c r="H33">
        <f>$B$5*EXP(-$B$3*1000/(1.987*$B$14))*(D33)^$B$2</f>
        <v>6.2733635696578267E-3</v>
      </c>
      <c r="I33">
        <f>ABS(1-G33/H33)</f>
        <v>1.6674117806481092E-6</v>
      </c>
      <c r="J33" s="1">
        <f>1-D33/B33/($B$8/$B$7)</f>
        <v>0.90354289673793753</v>
      </c>
      <c r="K33" s="4">
        <f>(0.00000076893*C33^0.7722)/1000</f>
        <v>2.5457448632727988E-7</v>
      </c>
      <c r="L33" s="4">
        <f>K33*2/A33</f>
        <v>2.5457448632727986E-5</v>
      </c>
      <c r="M33" s="4">
        <f>L33*($B$7-B33)</f>
        <v>-1.7119260151075711E-3</v>
      </c>
      <c r="N33" s="4">
        <f>$B$10*$B$12*($B$9^4-B33^4)</f>
        <v>-1.2095255398102831E-2</v>
      </c>
      <c r="O33" s="4">
        <f>H33*26.4/12</f>
        <v>1.3801399853247217E-2</v>
      </c>
      <c r="P33" s="4">
        <f>M33+N33+O33</f>
        <v>-5.7815599631850373E-6</v>
      </c>
      <c r="Q33" s="2">
        <f>$B$7+1/L33*($B$12*$B$10*($B$9^4-B33^4)+H33*26.4/12)</f>
        <v>1867.0194597957855</v>
      </c>
      <c r="R33" s="4">
        <f>(B33-Q33)^2</f>
        <v>5.1577503388652461E-2</v>
      </c>
    </row>
    <row r="34" spans="1:18">
      <c r="A34" s="4">
        <f>0.02</f>
        <v>0.02</v>
      </c>
      <c r="B34" s="2">
        <f>Q33</f>
        <v>1867.0194597957855</v>
      </c>
      <c r="C34" s="4">
        <f>($B$7+B34)/2</f>
        <v>1833.5097298978926</v>
      </c>
      <c r="D34" s="4">
        <v>1.0004374674699725E-2</v>
      </c>
      <c r="E34" s="5">
        <f>0.00001523*C34^1.67/$B$6</f>
        <v>4.2892650030878761</v>
      </c>
      <c r="F34" s="4">
        <f>2*E34/A34</f>
        <v>428.92650030878758</v>
      </c>
      <c r="G34">
        <f>F34*($B$8/(0.08205*$B$7*1000)-D34/(0.08205*$B$7*1000))*2*12</f>
        <v>6.2728431629302363E-3</v>
      </c>
      <c r="H34">
        <f>$B$5*EXP(-$B$3*1000/(1.987*$B$14))*(D34)^$B$2</f>
        <v>6.272833233942848E-3</v>
      </c>
      <c r="I34">
        <f>ABS(1-G34/H34)</f>
        <v>1.5828553092678277E-6</v>
      </c>
      <c r="J34" s="1">
        <f>1-D34/B34/($B$8/$B$7)</f>
        <v>0.90354747338075847</v>
      </c>
      <c r="K34" s="4">
        <f>(0.00000076893*C34^0.7722)/1000</f>
        <v>2.5456231220150341E-7</v>
      </c>
      <c r="L34" s="4">
        <f>K34*2/A34</f>
        <v>2.5456231220150341E-5</v>
      </c>
      <c r="M34" s="4">
        <f>L34*($B$7-B34)</f>
        <v>-1.7060628648110842E-3</v>
      </c>
      <c r="N34" s="4">
        <f>$B$10*$B$12*($B$9^4-B34^4)</f>
        <v>-1.2088844704174416E-2</v>
      </c>
      <c r="O34" s="4">
        <f>H34*26.4/12</f>
        <v>1.3800233114674265E-2</v>
      </c>
      <c r="P34" s="4">
        <f>M34+N34+O34</f>
        <v>5.3255456887654762E-6</v>
      </c>
      <c r="Q34" s="2">
        <f>$B$7+1/L34*($B$12*$B$10*($B$9^4-B34^4)+H34*26.4/12)</f>
        <v>1867.2286638072792</v>
      </c>
      <c r="R34" s="4">
        <f>(B34-Q34)^2</f>
        <v>4.376631842507249E-2</v>
      </c>
    </row>
    <row r="35" spans="1:18">
      <c r="A35" s="4">
        <f>0.02</f>
        <v>0.02</v>
      </c>
      <c r="B35" s="2">
        <f>Q34</f>
        <v>1867.2286638072792</v>
      </c>
      <c r="C35" s="4">
        <f>($B$7+B35)/2</f>
        <v>1833.6143319036396</v>
      </c>
      <c r="D35" s="4">
        <v>1.0005875512057644E-2</v>
      </c>
      <c r="E35" s="5">
        <f>0.00001523*C35^1.67/$B$6</f>
        <v>4.2896736652641376</v>
      </c>
      <c r="F35" s="4">
        <f>2*E35/A35</f>
        <v>428.96736652641374</v>
      </c>
      <c r="G35">
        <f>F35*($B$8/(0.08205*$B$7*1000)-D35/(0.08205*$B$7*1000))*2*12</f>
        <v>6.2733361908499504E-3</v>
      </c>
      <c r="H35">
        <f>$B$5*EXP(-$B$3*1000/(1.987*$B$14))*(D35)^$B$2</f>
        <v>6.2733037355835602E-3</v>
      </c>
      <c r="I35">
        <f>ABS(1-G35/H35)</f>
        <v>5.1735525263829629E-6</v>
      </c>
      <c r="J35" s="1">
        <f>1-D35/B35/($B$8/$B$7)</f>
        <v>0.90354381190260757</v>
      </c>
      <c r="K35" s="4">
        <f>(0.00000076893*C35^0.7722)/1000</f>
        <v>2.5457352664883376E-7</v>
      </c>
      <c r="L35" s="4">
        <f>K35*2/A35</f>
        <v>2.5457352664883377E-5</v>
      </c>
      <c r="M35" s="4">
        <f>L35*($B$7-B35)</f>
        <v>-1.7114638037307875E-3</v>
      </c>
      <c r="N35" s="4">
        <f>$B$10*$B$12*($B$9^4-B35^4)</f>
        <v>-1.209474995903401E-2</v>
      </c>
      <c r="O35" s="4">
        <f>H35*26.4/12</f>
        <v>1.3801268218283832E-2</v>
      </c>
      <c r="P35" s="4">
        <f>M35+N35+O35</f>
        <v>-4.9455444809647781E-6</v>
      </c>
      <c r="Q35" s="2">
        <f>$B$7+1/L35*($B$12*$B$10*($B$9^4-B35^4)+H35*26.4/12)</f>
        <v>1867.0343959843021</v>
      </c>
      <c r="R35" s="4">
        <f>(B35-Q35)^2</f>
        <v>3.7739987044243826E-2</v>
      </c>
    </row>
    <row r="36" spans="1:18">
      <c r="A36" s="4"/>
      <c r="B36" s="4"/>
      <c r="C36" s="4"/>
      <c r="D36" s="4"/>
      <c r="E36" s="5"/>
      <c r="F36" s="4"/>
      <c r="I36">
        <f>SUM(I32:I35)</f>
        <v>1.0043662343584003E-5</v>
      </c>
      <c r="J36" s="1"/>
      <c r="K36" s="4"/>
      <c r="L36" s="4"/>
      <c r="M36" s="4"/>
      <c r="N36" s="4"/>
      <c r="O36" s="4"/>
      <c r="P36" s="4"/>
      <c r="Q36" s="4"/>
      <c r="R36" s="4"/>
    </row>
    <row r="37" spans="1:18">
      <c r="A37" s="4"/>
      <c r="B37" s="4"/>
      <c r="C37" s="4"/>
      <c r="D37" s="4"/>
      <c r="E37" s="5"/>
      <c r="F37" s="4"/>
      <c r="J37" s="1"/>
      <c r="K37" s="4"/>
      <c r="L37" s="4"/>
      <c r="M37" s="4"/>
      <c r="N37" s="4"/>
      <c r="O37" s="4"/>
      <c r="P37" s="4"/>
      <c r="Q37" s="4"/>
      <c r="R37" s="4"/>
    </row>
    <row r="38" spans="1:18">
      <c r="A38" s="4">
        <f>0.05</f>
        <v>0.05</v>
      </c>
      <c r="B38" s="2">
        <v>1648.43</v>
      </c>
      <c r="C38" s="4">
        <f>($B$7+B38)/2</f>
        <v>1724.2150000000001</v>
      </c>
      <c r="D38" s="5">
        <v>1.5594525716024629E-3</v>
      </c>
      <c r="E38" s="5">
        <f>0.00001523*C38^1.67/$B$6</f>
        <v>3.8708609699834033</v>
      </c>
      <c r="F38" s="4">
        <f>2*E38/A38</f>
        <v>154.83443879933611</v>
      </c>
      <c r="G38">
        <f>F38*($B$8/(0.08205*$B$7*1000)-D38/(0.08205*$B$7*1000))*2*12</f>
        <v>2.4768615748406034E-3</v>
      </c>
      <c r="H38">
        <f>$B$5*EXP(-$B$3*1000/(1.987*$B$14))*(D38)^$B$2</f>
        <v>2.4765942093243976E-3</v>
      </c>
      <c r="I38">
        <f>ABS(1-G38/H38)</f>
        <v>1.0795693343679247E-4</v>
      </c>
      <c r="J38" s="1">
        <f>1-D38/B38/($B$8/$B$7)</f>
        <v>0.98297158733531642</v>
      </c>
      <c r="K38" s="4">
        <f>(0.00000076893*C38^0.7722)/1000</f>
        <v>2.4276311365464175E-7</v>
      </c>
      <c r="L38" s="4">
        <f>K38*2/A38</f>
        <v>9.7105245461856691E-6</v>
      </c>
      <c r="M38" s="4">
        <f>L38*($B$7-B38)</f>
        <v>1.4718242054653614E-3</v>
      </c>
      <c r="N38" s="4">
        <f>$B$10*$B$12*($B$9^4-B38^4)</f>
        <v>-6.9210316526057466E-3</v>
      </c>
      <c r="O38" s="4">
        <f>H38*26.4/12</f>
        <v>5.4485072605136749E-3</v>
      </c>
      <c r="P38" s="4">
        <f>M38+N38+O38</f>
        <v>-7.0018662670992549E-7</v>
      </c>
      <c r="Q38" s="2">
        <f>$B$7+1/L38*($B$12*$B$10*($B$9^4-B38^4)+H38*26.4/12)</f>
        <v>1648.3578940469818</v>
      </c>
      <c r="R38" s="4">
        <f>(B38-Q38)^2</f>
        <v>5.1992684606784918E-3</v>
      </c>
    </row>
    <row r="39" spans="1:18">
      <c r="A39" s="4">
        <f>0.05</f>
        <v>0.05</v>
      </c>
      <c r="B39" s="2">
        <f>Q38</f>
        <v>1648.3578940469818</v>
      </c>
      <c r="C39" s="4">
        <f>($B$7+B39)/2</f>
        <v>1724.1789470234908</v>
      </c>
      <c r="D39" s="5">
        <v>1.5596694796696676E-3</v>
      </c>
      <c r="E39" s="5">
        <f>0.00001523*C39^1.67/$B$6</f>
        <v>3.8707258029728857</v>
      </c>
      <c r="F39" s="4">
        <f>2*E39/A39</f>
        <v>154.82903211891542</v>
      </c>
      <c r="G39">
        <f>F39*($B$8/(0.08205*$B$7*1000)-D39/(0.08205*$B$7*1000))*2*12</f>
        <v>2.4767696276138743E-3</v>
      </c>
      <c r="H39">
        <f>$B$5*EXP(-$B$3*1000/(1.987*$B$14))*(D39)^$B$2</f>
        <v>2.4767664411044447E-3</v>
      </c>
      <c r="I39">
        <f>ABS(1-G39/H39)</f>
        <v>1.2865603218337185E-6</v>
      </c>
      <c r="J39" s="1">
        <f>1-D39/B39/($B$8/$B$7)</f>
        <v>0.98296847381539953</v>
      </c>
      <c r="K39" s="4">
        <f>(0.00000076893*C39^0.7722)/1000</f>
        <v>2.4275919386070022E-7</v>
      </c>
      <c r="L39" s="4">
        <f>K39*2/A39</f>
        <v>9.7103677544280082E-6</v>
      </c>
      <c r="M39" s="4">
        <f>L39*($B$7-B39)</f>
        <v>1.4725006158597439E-3</v>
      </c>
      <c r="N39" s="4">
        <f>$B$10*$B$12*($B$9^4-B39^4)</f>
        <v>-6.9196310876227874E-3</v>
      </c>
      <c r="O39" s="4">
        <f>H39*26.4/12</f>
        <v>5.4488861704297779E-3</v>
      </c>
      <c r="P39" s="4">
        <f>M39+N39+O39</f>
        <v>1.7556986667346952E-6</v>
      </c>
      <c r="Q39" s="2">
        <f>$B$7+1/L39*($B$12*$B$10*($B$9^4-B39^4)+H39*26.4/12)</f>
        <v>1648.5387006560759</v>
      </c>
      <c r="R39" s="4">
        <f>(B39-Q39)^2</f>
        <v>3.2691029892118917E-2</v>
      </c>
    </row>
    <row r="40" spans="1:18">
      <c r="A40" s="4">
        <f>0.05</f>
        <v>0.05</v>
      </c>
      <c r="B40" s="2">
        <f>Q39</f>
        <v>1648.5387006560759</v>
      </c>
      <c r="C40" s="4">
        <f>($B$7+B40)/2</f>
        <v>1724.2693503280379</v>
      </c>
      <c r="D40" s="5">
        <v>1.559856463626073E-3</v>
      </c>
      <c r="E40" s="5">
        <f>0.00001523*C40^1.67/$B$6</f>
        <v>3.8710647395777493</v>
      </c>
      <c r="F40" s="4">
        <f>2*E40/A40</f>
        <v>154.84258958310997</v>
      </c>
      <c r="G40">
        <f>F40*($B$8/(0.08205*$B$7*1000)-D40/(0.08205*$B$7*1000))*2*12</f>
        <v>2.4769817987576981E-3</v>
      </c>
      <c r="H40">
        <f>$B$5*EXP(-$B$3*1000/(1.987*$B$14))*(D40)^$B$2</f>
        <v>2.4769149025941207E-3</v>
      </c>
      <c r="I40">
        <f>ABS(1-G40/H40)</f>
        <v>2.7007857035021843E-5</v>
      </c>
      <c r="J40" s="1">
        <f>1-D40/B40/($B$8/$B$7)</f>
        <v>0.98296830014721814</v>
      </c>
      <c r="K40" s="4">
        <f>(0.00000076893*C40^0.7722)/1000</f>
        <v>2.4276902275937911E-7</v>
      </c>
      <c r="L40" s="4">
        <f>K40*2/A40</f>
        <v>9.7107609103751646E-6</v>
      </c>
      <c r="M40" s="4">
        <f>L40*($B$7-B40)</f>
        <v>1.4708044651036097E-3</v>
      </c>
      <c r="N40" s="4">
        <f>$B$10*$B$12*($B$9^4-B40^4)</f>
        <v>-6.9231433698221014E-3</v>
      </c>
      <c r="O40" s="4">
        <f>H40*26.4/12</f>
        <v>5.4492127857070647E-3</v>
      </c>
      <c r="P40" s="4">
        <f>M40+N40+O40</f>
        <v>-3.1261190114274459E-6</v>
      </c>
      <c r="Q40" s="2">
        <f>$B$7+1/L40*($B$12*$B$10*($B$9^4-B40^4)+H40*26.4/12)</f>
        <v>1648.2167774782447</v>
      </c>
      <c r="R40" s="4">
        <f>(B40-Q40)^2</f>
        <v>0.10363453242493524</v>
      </c>
    </row>
    <row r="41" spans="1:18">
      <c r="A41" s="4">
        <f>0.05</f>
        <v>0.05</v>
      </c>
      <c r="B41" s="2">
        <f>Q40</f>
        <v>1648.2167774782447</v>
      </c>
      <c r="C41" s="4">
        <f>($B$7+B41)/2</f>
        <v>1724.1083887391223</v>
      </c>
      <c r="D41" s="5">
        <v>1.5594667469389482E-3</v>
      </c>
      <c r="E41" s="5">
        <f>0.00001523*C41^1.67/$B$6</f>
        <v>3.8704612768300688</v>
      </c>
      <c r="F41" s="4">
        <f>2*E41/A41</f>
        <v>154.81845107320274</v>
      </c>
      <c r="G41">
        <f>F41*($B$8/(0.08205*$B$7*1000)-D41/(0.08205*$B$7*1000))*2*12</f>
        <v>2.4766054651324835E-3</v>
      </c>
      <c r="H41">
        <f>$B$5*EXP(-$B$3*1000/(1.987*$B$14))*(D41)^$B$2</f>
        <v>2.4766054653501063E-3</v>
      </c>
      <c r="I41">
        <f>ABS(1-G41/H41)</f>
        <v>8.7871376841519577E-11</v>
      </c>
      <c r="J41" s="1">
        <f>1-D41/B41/($B$8/$B$7)</f>
        <v>0.98296922963747013</v>
      </c>
      <c r="K41" s="4">
        <f>(0.00000076893*C41^0.7722)/1000</f>
        <v>2.427515224862329E-7</v>
      </c>
      <c r="L41" s="4">
        <f>K41*2/A41</f>
        <v>9.7100608994493156E-6</v>
      </c>
      <c r="M41" s="4">
        <f>L41*($B$7-B41)</f>
        <v>1.473824334200911E-3</v>
      </c>
      <c r="N41" s="4">
        <f>$B$10*$B$12*($B$9^4-B41^4)</f>
        <v>-6.9168906123776939E-3</v>
      </c>
      <c r="O41" s="4">
        <f>H41*26.4/12</f>
        <v>5.4485320237702339E-3</v>
      </c>
      <c r="P41" s="4">
        <f>M41+N41+O41</f>
        <v>5.4657455934511989E-6</v>
      </c>
      <c r="Q41" s="2">
        <f>$B$7+1/L41*($B$12*$B$10*($B$9^4-B41^4)+H41*26.4/12)</f>
        <v>1648.7796725671685</v>
      </c>
      <c r="R41" s="4">
        <f>(B41-Q41)^2</f>
        <v>0.31685088113455973</v>
      </c>
    </row>
    <row r="42" spans="1:18">
      <c r="A42" s="4"/>
      <c r="B42" s="4"/>
      <c r="C42" s="4"/>
      <c r="D42" s="4"/>
      <c r="E42" s="5"/>
      <c r="F42" s="4"/>
      <c r="I42">
        <f>SUM(I38:I41)</f>
        <v>1.3625143866502487E-4</v>
      </c>
      <c r="J42" s="1"/>
      <c r="K42" s="4"/>
      <c r="L42" s="4"/>
      <c r="M42" s="4"/>
      <c r="N42" s="4"/>
      <c r="O42" s="4"/>
      <c r="P42" s="4"/>
      <c r="Q42" s="4"/>
      <c r="R42" s="4"/>
    </row>
    <row r="43" spans="1:18">
      <c r="A43" s="4"/>
      <c r="B43" s="4"/>
      <c r="C43" s="4"/>
      <c r="D43" s="4"/>
      <c r="E43" s="5"/>
      <c r="F43" s="4"/>
      <c r="J43" s="1"/>
      <c r="K43" s="4"/>
      <c r="L43" s="4"/>
      <c r="M43" s="4"/>
      <c r="N43" s="4"/>
      <c r="O43" s="4"/>
      <c r="P43" s="4"/>
      <c r="Q43" s="4"/>
      <c r="R43" s="4"/>
    </row>
    <row r="44" spans="1:18">
      <c r="G44">
        <f>SUM(I14:I38)</f>
        <v>1.4803061808876805E-4</v>
      </c>
      <c r="R44" s="4">
        <f>SUM(R14:R38)</f>
        <v>3.1723263921638929</v>
      </c>
    </row>
    <row r="46" spans="1:18">
      <c r="B46" t="s">
        <v>25</v>
      </c>
      <c r="C46" t="s">
        <v>29</v>
      </c>
      <c r="K46" s="4"/>
      <c r="N46" s="4"/>
    </row>
    <row r="47" spans="1:18">
      <c r="A47" t="s">
        <v>24</v>
      </c>
      <c r="B47" t="s">
        <v>46</v>
      </c>
      <c r="K47" s="4"/>
      <c r="P47" s="4">
        <f>R44/10000+G44</f>
        <v>4.6526325730515732E-4</v>
      </c>
    </row>
    <row r="48" spans="1:18">
      <c r="A48" s="7">
        <f>A14*10000</f>
        <v>20</v>
      </c>
      <c r="B48" s="1">
        <f>J17</f>
        <v>0.6072265493165887</v>
      </c>
      <c r="C48" s="2">
        <f>B17</f>
        <v>1900.9878156946463</v>
      </c>
      <c r="K48" s="4"/>
    </row>
    <row r="49" spans="1:3">
      <c r="A49" s="7">
        <f>A20*10000</f>
        <v>50</v>
      </c>
      <c r="B49" s="1">
        <f>J23</f>
        <v>0.52277136011212244</v>
      </c>
      <c r="C49" s="2">
        <f>B23</f>
        <v>1958.1231782176239</v>
      </c>
    </row>
    <row r="50" spans="1:3">
      <c r="A50" s="7">
        <f>A26*10000</f>
        <v>100</v>
      </c>
      <c r="B50" s="1">
        <f>J29</f>
        <v>0.41176327149624858</v>
      </c>
      <c r="C50" s="2">
        <f>B29</f>
        <v>2010.1420857609012</v>
      </c>
    </row>
    <row r="51" spans="1:3">
      <c r="A51" s="7">
        <f>A32*10000</f>
        <v>200</v>
      </c>
      <c r="B51" s="1">
        <f>J35</f>
        <v>0.90354381190260757</v>
      </c>
      <c r="C51" s="2">
        <f>B35</f>
        <v>1867.2286638072792</v>
      </c>
    </row>
    <row r="52" spans="1:3">
      <c r="A52" s="7">
        <f>A38*10000</f>
        <v>500</v>
      </c>
      <c r="B52" s="1">
        <f>J41</f>
        <v>0.98296922963747013</v>
      </c>
      <c r="C52" s="2">
        <f>B41</f>
        <v>1648.2167774782447</v>
      </c>
    </row>
    <row r="53" spans="1:3">
      <c r="A53" s="7"/>
    </row>
  </sheetData>
  <phoneticPr fontId="1" type="noConversion"/>
  <pageMargins left="0.75" right="0.75" top="1" bottom="1" header="0.5" footer="0.5"/>
  <pageSetup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7</xdr:col>
                <xdr:colOff>571500</xdr:colOff>
                <xdr:row>0</xdr:row>
                <xdr:rowOff>85725</xdr:rowOff>
              </from>
              <to>
                <xdr:col>15</xdr:col>
                <xdr:colOff>381000</xdr:colOff>
                <xdr:row>4</xdr:row>
                <xdr:rowOff>152400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0A73-EFAC-4CC7-87FE-3D82D5717BA0}">
  <dimension ref="A1:V35"/>
  <sheetViews>
    <sheetView tabSelected="1" topLeftCell="A22" workbookViewId="0">
      <selection activeCell="R35" sqref="R35"/>
    </sheetView>
  </sheetViews>
  <sheetFormatPr defaultColWidth="11.42578125" defaultRowHeight="12"/>
  <cols>
    <col min="5" max="7" width="11.42578125" customWidth="1"/>
  </cols>
  <sheetData>
    <row r="1" spans="1:22">
      <c r="A1" t="s">
        <v>50</v>
      </c>
    </row>
    <row r="2" spans="1:22">
      <c r="A2" t="s">
        <v>51</v>
      </c>
    </row>
    <row r="3" spans="1:22">
      <c r="A3" t="s">
        <v>3</v>
      </c>
      <c r="B3">
        <v>0.8</v>
      </c>
    </row>
    <row r="4" spans="1:22">
      <c r="A4" t="s">
        <v>0</v>
      </c>
      <c r="B4">
        <v>0.5</v>
      </c>
    </row>
    <row r="5" spans="1:22">
      <c r="A5" t="s">
        <v>1</v>
      </c>
      <c r="B5">
        <f>-5.9+0.355*B3*100</f>
        <v>22.5</v>
      </c>
      <c r="C5" s="3" t="s">
        <v>14</v>
      </c>
      <c r="D5">
        <f>B5*4.194</f>
        <v>94.364999999999995</v>
      </c>
      <c r="E5" t="s">
        <v>15</v>
      </c>
    </row>
    <row r="6" spans="1:22">
      <c r="A6" t="s">
        <v>17</v>
      </c>
      <c r="B6">
        <f>(2.8-0.076*B3*100)</f>
        <v>-3.2800000000000002</v>
      </c>
      <c r="C6" s="3" t="s">
        <v>16</v>
      </c>
    </row>
    <row r="7" spans="1:22">
      <c r="A7" t="s">
        <v>2</v>
      </c>
      <c r="B7" s="2">
        <f>EXP(B6+B5*1000/(1.987*1750))</f>
        <v>24.303746781430529</v>
      </c>
      <c r="C7" s="3" t="s">
        <v>16</v>
      </c>
      <c r="E7">
        <f>B7/1000*100^2/SQRT(101000)</f>
        <v>0.76473777788639985</v>
      </c>
    </row>
    <row r="8" spans="1:22">
      <c r="A8" t="s">
        <v>8</v>
      </c>
      <c r="B8" s="2">
        <v>1</v>
      </c>
      <c r="C8" t="s">
        <v>6</v>
      </c>
    </row>
    <row r="9" spans="1:22">
      <c r="A9" s="8" t="s">
        <v>28</v>
      </c>
      <c r="B9" s="2">
        <v>1800</v>
      </c>
      <c r="C9" s="3" t="s">
        <v>32</v>
      </c>
    </row>
    <row r="10" spans="1:22">
      <c r="A10" t="s">
        <v>5</v>
      </c>
      <c r="B10" s="2">
        <v>0.1</v>
      </c>
      <c r="C10" t="s">
        <v>6</v>
      </c>
    </row>
    <row r="11" spans="1:22">
      <c r="A11" t="s">
        <v>31</v>
      </c>
      <c r="B11" s="2">
        <v>1000</v>
      </c>
      <c r="C11" t="s">
        <v>32</v>
      </c>
    </row>
    <row r="12" spans="1:22">
      <c r="A12" t="s">
        <v>35</v>
      </c>
      <c r="B12" s="2">
        <v>0.8</v>
      </c>
    </row>
    <row r="13" spans="1:22">
      <c r="A13" t="s">
        <v>36</v>
      </c>
      <c r="B13" s="4">
        <v>5.6699999999999998E-8</v>
      </c>
      <c r="C13" t="s">
        <v>37</v>
      </c>
      <c r="T13" s="9" t="s">
        <v>70</v>
      </c>
      <c r="U13" s="9"/>
      <c r="V13" s="9"/>
    </row>
    <row r="14" spans="1:22">
      <c r="B14" s="4">
        <f>B13*0.23901/100^2/1000</f>
        <v>1.3551866999999998E-15</v>
      </c>
      <c r="C14" t="s">
        <v>38</v>
      </c>
      <c r="F14" t="s">
        <v>58</v>
      </c>
      <c r="K14" t="s">
        <v>57</v>
      </c>
      <c r="T14" s="9"/>
      <c r="U14" s="9"/>
      <c r="V14" s="9"/>
    </row>
    <row r="15" spans="1:22">
      <c r="A15" t="s">
        <v>20</v>
      </c>
      <c r="B15" s="9" t="s">
        <v>29</v>
      </c>
      <c r="C15" t="s">
        <v>30</v>
      </c>
      <c r="D15" s="9" t="s">
        <v>7</v>
      </c>
      <c r="E15" t="s">
        <v>18</v>
      </c>
      <c r="F15" t="s">
        <v>59</v>
      </c>
      <c r="G15" t="s">
        <v>12</v>
      </c>
      <c r="H15" t="s">
        <v>13</v>
      </c>
      <c r="I15" t="s">
        <v>52</v>
      </c>
      <c r="J15" t="s">
        <v>10</v>
      </c>
      <c r="K15" t="s">
        <v>33</v>
      </c>
      <c r="L15" t="s">
        <v>34</v>
      </c>
      <c r="M15" t="s">
        <v>39</v>
      </c>
      <c r="N15" t="s">
        <v>40</v>
      </c>
      <c r="O15" t="s">
        <v>41</v>
      </c>
      <c r="P15" t="s">
        <v>43</v>
      </c>
      <c r="Q15" t="s">
        <v>53</v>
      </c>
      <c r="R15" t="s">
        <v>54</v>
      </c>
      <c r="S15" t="s">
        <v>55</v>
      </c>
      <c r="T15" s="9" t="s">
        <v>29</v>
      </c>
      <c r="U15" s="9" t="s">
        <v>71</v>
      </c>
      <c r="V15" s="9" t="s">
        <v>25</v>
      </c>
    </row>
    <row r="16" spans="1:22">
      <c r="A16" s="4">
        <f>0.002</f>
        <v>2E-3</v>
      </c>
      <c r="B16" s="2">
        <v>1896.0578664737079</v>
      </c>
      <c r="C16" s="3">
        <f>($B$9+B16)/2</f>
        <v>1848.0289332368538</v>
      </c>
      <c r="D16">
        <v>7.5845940560975364E-2</v>
      </c>
      <c r="E16" s="5">
        <f>0.00001523*C16^1.67/$B$8</f>
        <v>4.3461383112955572</v>
      </c>
      <c r="F16" s="4">
        <f>2*E16/A16</f>
        <v>4346.1383112955573</v>
      </c>
      <c r="G16">
        <f>F16*($B$10/(0.08205*$B$9*1000)-D16/(0.08205*$B$9*1000))*2*12</f>
        <v>1.7059010050985993E-2</v>
      </c>
      <c r="H16">
        <f>$B$7*EXP(-$B$5*1000/(1.987*B16))*(D16)^$B$4</f>
        <v>1.7058998872252477E-2</v>
      </c>
      <c r="I16">
        <f>ABS(1-G16/H16)</f>
        <v>6.5529833248589853E-7</v>
      </c>
      <c r="J16" s="1">
        <f>1-D16/B16/($B$10/$B$9)</f>
        <v>0.27996557793006183</v>
      </c>
      <c r="K16" s="4">
        <f>(0.00000076893*C16^0.7722)/1000</f>
        <v>2.5611753583948848E-7</v>
      </c>
      <c r="L16" s="4">
        <f>K16*2/A16</f>
        <v>2.5611753583948849E-4</v>
      </c>
      <c r="M16" s="4">
        <f>L16*($B$9-B16)</f>
        <v>-2.4602104059244689E-2</v>
      </c>
      <c r="N16" s="4">
        <f>$B$12*$B$14*($B$11^4-B16^4)</f>
        <v>-1.2927700275302453E-2</v>
      </c>
      <c r="O16" s="4">
        <f>H16*26.4/12</f>
        <v>3.7529797518955445E-2</v>
      </c>
      <c r="P16" s="4">
        <f>M16+N16+O16</f>
        <v>-6.8155916951861961E-9</v>
      </c>
      <c r="Q16" s="2">
        <f>$B$9+1/$L$16*($B$14*$B$12*($B$11^4-B16^4)+H16*26.4/12)</f>
        <v>1896.0578398625207</v>
      </c>
      <c r="R16" s="4">
        <f>(B16-Q16)^2</f>
        <v>7.0815528393574007E-10</v>
      </c>
      <c r="S16" s="4">
        <f>(R16+I16)*1000</f>
        <v>6.5600648776983428E-4</v>
      </c>
      <c r="T16" s="9">
        <v>1896.06</v>
      </c>
      <c r="U16" s="9">
        <v>2358.6999999999998</v>
      </c>
      <c r="V16" s="9">
        <v>0.19836000000000001</v>
      </c>
    </row>
    <row r="17" spans="1:22">
      <c r="A17" s="4">
        <f>0.005</f>
        <v>5.0000000000000001E-3</v>
      </c>
      <c r="B17" s="2">
        <v>2010.2439708527761</v>
      </c>
      <c r="C17" s="3">
        <f t="shared" ref="C17:C20" si="0">($B$9+B17)/2</f>
        <v>1905.1219854263882</v>
      </c>
      <c r="D17">
        <v>4.0860642397519957E-2</v>
      </c>
      <c r="E17" s="5">
        <f>0.00001523*C17^1.67/$B$8</f>
        <v>4.5726815858941601</v>
      </c>
      <c r="F17" s="4">
        <f>2*E17/A17</f>
        <v>1829.0726343576639</v>
      </c>
      <c r="G17" s="7">
        <f>F17*($B$10/(0.08205*$B$9*1000)-D17/(0.08205*$B$9*1000))*2*12</f>
        <v>1.7577929003321245E-2</v>
      </c>
      <c r="H17">
        <f t="shared" ref="H17:H20" si="1">$B$7*EXP(-$B$5*1000/(1.987*B17))*(D17)^$B$4</f>
        <v>1.7577892382922726E-2</v>
      </c>
      <c r="I17">
        <f>ABS(1-G17/H17)</f>
        <v>2.0833213516535665E-6</v>
      </c>
      <c r="J17" s="1">
        <f>1-D17/B17/($B$10/$B$9)</f>
        <v>0.6341282084067873</v>
      </c>
      <c r="K17" s="4">
        <f>(0.00000076893*C17^0.7722)/1000</f>
        <v>2.6220633664684736E-7</v>
      </c>
      <c r="L17" s="4">
        <f>K17*2/A17</f>
        <v>1.0488253465873894E-4</v>
      </c>
      <c r="M17" s="4">
        <f>L17*($B$9-B17)</f>
        <v>-2.205092055975719E-2</v>
      </c>
      <c r="N17" s="4">
        <f>$B$12*$B$14*($B$11^4-B17^4)</f>
        <v>-1.6620372025354675E-2</v>
      </c>
      <c r="O17" s="4">
        <f>H17*26.4/12</f>
        <v>3.8671363242429993E-2</v>
      </c>
      <c r="P17" s="4">
        <f>M17+N17+O17</f>
        <v>7.0657318128330981E-8</v>
      </c>
      <c r="Q17" s="2">
        <f>$B$9+1/$L17*($B$14*$B$12*($B$11^4-B17^4)+H17*26.4/12)</f>
        <v>2010.2446445332737</v>
      </c>
      <c r="R17" s="4">
        <f>(B17-Q17)^2</f>
        <v>4.5384541282560242E-7</v>
      </c>
      <c r="S17" s="4">
        <f>(R17+I17)*1000</f>
        <v>2.5371667644791688E-3</v>
      </c>
      <c r="T17" s="9">
        <v>2010.2</v>
      </c>
      <c r="U17" s="9">
        <v>2222.58</v>
      </c>
      <c r="V17" s="9">
        <v>0.54017999999999999</v>
      </c>
    </row>
    <row r="18" spans="1:22">
      <c r="A18" s="4">
        <f>0.01</f>
        <v>0.01</v>
      </c>
      <c r="B18" s="2">
        <v>1989.2211004447588</v>
      </c>
      <c r="C18" s="3">
        <f t="shared" si="0"/>
        <v>1894.6105502223795</v>
      </c>
      <c r="D18">
        <v>2.0442615813137995E-2</v>
      </c>
      <c r="E18" s="5">
        <f>0.00001523*C18^1.67/$B$8</f>
        <v>4.5306260955573858</v>
      </c>
      <c r="F18" s="4">
        <f>2*E18/A18</f>
        <v>906.12521911147712</v>
      </c>
      <c r="G18">
        <f>F18*($B$10/(0.08205*$B$9*1000)-D18/(0.08205*$B$9*1000))*2*12</f>
        <v>1.1714637770181811E-2</v>
      </c>
      <c r="H18">
        <f t="shared" si="1"/>
        <v>1.1714624058113573E-2</v>
      </c>
      <c r="I18">
        <f>ABS(1-G18/H18)</f>
        <v>1.1705086027102851E-6</v>
      </c>
      <c r="J18" s="1">
        <f>1-D18/B18/($B$10/$B$9)</f>
        <v>0.81501951464610334</v>
      </c>
      <c r="K18" s="4">
        <f>(0.00000076893*C18^0.7722)/1000</f>
        <v>2.6108848114564992E-7</v>
      </c>
      <c r="L18" s="4">
        <f>K18*2/A18</f>
        <v>5.2217696229129984E-5</v>
      </c>
      <c r="M18" s="4">
        <f>L18*($B$9-B18)</f>
        <v>-9.8806899431661075E-3</v>
      </c>
      <c r="N18" s="4">
        <f>$B$12*$B$14*($B$11^4-B18^4)</f>
        <v>-1.5891302644083363E-2</v>
      </c>
      <c r="O18" s="4">
        <f>H18*26.4/12</f>
        <v>2.5772172927849859E-2</v>
      </c>
      <c r="P18" s="4">
        <f>M18+N18+O18</f>
        <v>1.803406003871022E-7</v>
      </c>
      <c r="Q18" s="2">
        <f>$B$9+1/$L18*($B$14*$B$12*($B$11^4-B18^4)+H18*26.4/12)</f>
        <v>1989.2245540747235</v>
      </c>
      <c r="R18" s="4">
        <f>(B18-Q18)^2</f>
        <v>1.1927559933241667E-5</v>
      </c>
      <c r="S18" s="4">
        <f>(R18+I18)*1000</f>
        <v>1.3098068535951952E-2</v>
      </c>
      <c r="T18" s="9">
        <v>1989.2</v>
      </c>
      <c r="U18" s="9">
        <v>2075.0500000000002</v>
      </c>
      <c r="V18" s="9">
        <v>0.76637</v>
      </c>
    </row>
    <row r="19" spans="1:22">
      <c r="A19" s="4">
        <f>0.02</f>
        <v>0.02</v>
      </c>
      <c r="B19" s="2">
        <v>1860.010462605529</v>
      </c>
      <c r="C19" s="3">
        <f t="shared" si="0"/>
        <v>1830.0052313027645</v>
      </c>
      <c r="D19" s="4">
        <v>1.2219652075020598E-2</v>
      </c>
      <c r="E19" s="5">
        <f>0.00001523*C19^1.67/$B$8</f>
        <v>4.2755825555219547</v>
      </c>
      <c r="F19" s="4">
        <f>2*E19/A19</f>
        <v>427.55825555219548</v>
      </c>
      <c r="G19">
        <f>F19*($B$10/(0.08205*$B$9*1000)-D19/(0.08205*$B$9*1000))*2*12</f>
        <v>6.0989173155505134E-3</v>
      </c>
      <c r="H19">
        <f t="shared" si="1"/>
        <v>6.098887167818901E-3</v>
      </c>
      <c r="I19">
        <f>ABS(1-G19/H19)</f>
        <v>4.9431528708065997E-6</v>
      </c>
      <c r="J19" s="1">
        <f>1-D19/B19/($B$10/$B$9)</f>
        <v>0.88174596768544167</v>
      </c>
      <c r="K19" s="4">
        <f>(0.00000076893*C19^0.7722)/1000</f>
        <v>2.541865083844374E-7</v>
      </c>
      <c r="L19" s="4">
        <f>K19*2/A19</f>
        <v>2.5418650838443739E-5</v>
      </c>
      <c r="M19" s="4">
        <f>L19*($B$9-B19)</f>
        <v>-1.5253849956234271E-3</v>
      </c>
      <c r="N19" s="4">
        <f>$B$12*$B$14*($B$11^4-B19^4)</f>
        <v>-1.1892144331658557E-2</v>
      </c>
      <c r="O19" s="4">
        <f>H19*26.4/12</f>
        <v>1.3417551769201582E-2</v>
      </c>
      <c r="P19" s="4">
        <f>M19+N19+O19</f>
        <v>2.2441919598700788E-8</v>
      </c>
      <c r="Q19" s="2">
        <f>$B$9+1/L19*($B$14*$B$12*($B$11^4-B19^4)+H19*26.4/12)</f>
        <v>1860.0113454973764</v>
      </c>
      <c r="R19" s="4">
        <f>(B19-Q19)^2</f>
        <v>7.7949801414928226E-7</v>
      </c>
      <c r="S19" s="4">
        <f>(R19+I19)*1000</f>
        <v>5.7226508849558821E-3</v>
      </c>
      <c r="T19" s="9">
        <v>1860.01</v>
      </c>
      <c r="U19" s="9">
        <v>1899.12</v>
      </c>
      <c r="V19" s="9">
        <v>0.86234999999999995</v>
      </c>
    </row>
    <row r="20" spans="1:22">
      <c r="A20" s="4">
        <f>0.05</f>
        <v>0.05</v>
      </c>
      <c r="B20" s="2">
        <v>1632.1236234158205</v>
      </c>
      <c r="C20" s="3">
        <f t="shared" si="0"/>
        <v>1716.0618117079102</v>
      </c>
      <c r="D20" s="5">
        <v>9.2326322810386222E-3</v>
      </c>
      <c r="E20" s="5">
        <f>0.00001523*C20^1.67/$B$8</f>
        <v>3.8403419045917548</v>
      </c>
      <c r="F20" s="4">
        <f>2*E20/A20</f>
        <v>153.61367618367018</v>
      </c>
      <c r="G20">
        <f>F20*($B$10/(0.08205*$B$9*1000)-D20/(0.08205*$B$9*1000))*2*12</f>
        <v>2.2657906208124563E-3</v>
      </c>
      <c r="H20">
        <f t="shared" si="1"/>
        <v>2.2657896348174918E-3</v>
      </c>
      <c r="I20">
        <f>ABS(1-G20/H20)</f>
        <v>4.3516615555461158E-7</v>
      </c>
      <c r="J20" s="1">
        <f>1-D20/B20/($B$10/$B$9)</f>
        <v>0.89817720994020855</v>
      </c>
      <c r="K20" s="4">
        <f>(0.00000076893*C20^0.7722)/1000</f>
        <v>2.4187619692348721E-7</v>
      </c>
      <c r="L20" s="4">
        <f>K20*2/A20</f>
        <v>9.6750478769394884E-6</v>
      </c>
      <c r="M20" s="4">
        <f>L20*($B$9-B20)</f>
        <v>1.6242119808590602E-3</v>
      </c>
      <c r="N20" s="4">
        <f>$B$12*$B$14*($B$11^4-B20^4)</f>
        <v>-6.6089496363712459E-3</v>
      </c>
      <c r="O20" s="4">
        <f>H20*26.4/12</f>
        <v>4.9847371965984818E-3</v>
      </c>
      <c r="P20" s="4">
        <f>M20+N20+O20</f>
        <v>-4.5891370391293318E-10</v>
      </c>
      <c r="Q20" s="2">
        <f>$B$9+1/L20*($B$14*$B$12*($B$11^4-B20^4)+H20*26.4/12)</f>
        <v>1632.1235759831143</v>
      </c>
      <c r="R20" s="4">
        <f>(B20-Q20)^2</f>
        <v>2.2498616171291428E-9</v>
      </c>
      <c r="S20" s="4">
        <f>(R20+I20)*1000</f>
        <v>4.3741601717174069E-4</v>
      </c>
      <c r="T20" s="9">
        <v>1632.12</v>
      </c>
      <c r="U20" s="9">
        <v>1651.72</v>
      </c>
      <c r="V20" s="9">
        <v>0.89907999999999999</v>
      </c>
    </row>
    <row r="21" spans="1:22">
      <c r="A21" s="4"/>
      <c r="B21" s="2"/>
      <c r="C21" s="4"/>
      <c r="D21" s="5"/>
      <c r="E21" s="5"/>
      <c r="F21" s="4"/>
      <c r="J21" s="1"/>
      <c r="K21" s="4"/>
      <c r="L21" s="4"/>
      <c r="M21" s="4"/>
      <c r="N21" s="4"/>
      <c r="O21" s="4"/>
      <c r="P21" s="4"/>
      <c r="Q21" s="2"/>
      <c r="R21" s="4"/>
    </row>
    <row r="22" spans="1:22">
      <c r="A22" s="4" t="s">
        <v>56</v>
      </c>
      <c r="B22" s="2"/>
      <c r="C22" s="4"/>
      <c r="D22" s="5"/>
      <c r="E22" s="5"/>
      <c r="F22" s="4"/>
      <c r="J22" s="1"/>
      <c r="K22" s="4"/>
      <c r="L22" s="4"/>
      <c r="M22" s="4"/>
      <c r="N22" s="4"/>
      <c r="O22" s="4"/>
      <c r="P22" s="4"/>
      <c r="Q22" s="2"/>
      <c r="R22" s="4"/>
    </row>
    <row r="23" spans="1:22">
      <c r="A23" s="4"/>
      <c r="B23" s="2"/>
      <c r="C23" s="4"/>
      <c r="D23" s="5"/>
      <c r="E23" s="5"/>
      <c r="F23" s="4"/>
      <c r="J23" s="1"/>
      <c r="K23" s="4"/>
      <c r="L23" s="4"/>
      <c r="M23" s="4"/>
      <c r="N23" s="4"/>
      <c r="O23" s="4"/>
      <c r="P23" s="4"/>
      <c r="Q23" s="2"/>
      <c r="R23" s="4"/>
    </row>
    <row r="24" spans="1:22">
      <c r="A24" s="4"/>
      <c r="B24" s="4"/>
      <c r="C24" s="4"/>
      <c r="D24" s="4"/>
      <c r="E24" s="5"/>
      <c r="F24" s="4"/>
      <c r="J24" s="1"/>
      <c r="K24" s="4"/>
      <c r="L24" s="4"/>
      <c r="M24" s="4"/>
      <c r="N24" s="4"/>
      <c r="O24" s="4"/>
      <c r="P24" s="4"/>
      <c r="Q24" s="4"/>
      <c r="R24" s="4"/>
    </row>
    <row r="25" spans="1:22">
      <c r="A25" s="4"/>
      <c r="B25" s="4"/>
      <c r="C25" s="4"/>
      <c r="D25" s="4"/>
      <c r="E25" s="5"/>
      <c r="F25" s="4"/>
      <c r="J25" s="1"/>
      <c r="K25" s="4"/>
      <c r="L25" s="4"/>
      <c r="M25" s="4"/>
      <c r="N25" s="4"/>
      <c r="O25" s="4"/>
      <c r="P25" s="4"/>
      <c r="Q25" s="4"/>
      <c r="R25" s="4"/>
    </row>
    <row r="26" spans="1:22">
      <c r="G26">
        <f>SUM(I16:I20)</f>
        <v>9.2874473132109614E-6</v>
      </c>
      <c r="R26" s="4">
        <f>SUM(R16:R20)</f>
        <v>1.3163861377117616E-5</v>
      </c>
    </row>
    <row r="28" spans="1:22">
      <c r="B28" t="s">
        <v>25</v>
      </c>
      <c r="C28" t="s">
        <v>29</v>
      </c>
      <c r="K28" s="4"/>
      <c r="N28" s="4"/>
    </row>
    <row r="29" spans="1:22">
      <c r="A29" t="s">
        <v>24</v>
      </c>
      <c r="B29" t="s">
        <v>68</v>
      </c>
      <c r="K29" s="4"/>
      <c r="P29" s="4">
        <f>R26/10000+G26</f>
        <v>9.288763699348674E-6</v>
      </c>
    </row>
    <row r="30" spans="1:22">
      <c r="A30" s="7">
        <f>A16*10000</f>
        <v>20</v>
      </c>
      <c r="B30" s="1">
        <f>J16</f>
        <v>0.27996557793006183</v>
      </c>
      <c r="C30" s="2">
        <f>B16</f>
        <v>1896.0578664737079</v>
      </c>
      <c r="K30" s="4"/>
    </row>
    <row r="31" spans="1:22">
      <c r="A31" s="7">
        <f>A17*10000</f>
        <v>50</v>
      </c>
      <c r="B31" s="1">
        <f>J17</f>
        <v>0.6341282084067873</v>
      </c>
      <c r="C31" s="2">
        <f>B17</f>
        <v>2010.2439708527761</v>
      </c>
    </row>
    <row r="32" spans="1:22">
      <c r="A32" s="7">
        <f>A18*10000</f>
        <v>100</v>
      </c>
      <c r="B32" s="1">
        <f>J18</f>
        <v>0.81501951464610334</v>
      </c>
      <c r="C32" s="2">
        <f>B18</f>
        <v>1989.2211004447588</v>
      </c>
    </row>
    <row r="33" spans="1:3">
      <c r="A33" s="7">
        <f>A19*10000</f>
        <v>200</v>
      </c>
      <c r="B33" s="1">
        <f>J19</f>
        <v>0.88174596768544167</v>
      </c>
      <c r="C33" s="2">
        <f>B19</f>
        <v>1860.010462605529</v>
      </c>
    </row>
    <row r="34" spans="1:3">
      <c r="A34" s="7">
        <f>A20*10000</f>
        <v>500</v>
      </c>
      <c r="B34" s="1">
        <f>J20</f>
        <v>0.89817720994020855</v>
      </c>
      <c r="C34" s="2">
        <f>B20</f>
        <v>1632.1236234158205</v>
      </c>
    </row>
    <row r="35" spans="1:3">
      <c r="A35" s="7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>
              <from>
                <xdr:col>7</xdr:col>
                <xdr:colOff>571500</xdr:colOff>
                <xdr:row>2</xdr:row>
                <xdr:rowOff>85725</xdr:rowOff>
              </from>
              <to>
                <xdr:col>17</xdr:col>
                <xdr:colOff>381000</xdr:colOff>
                <xdr:row>7</xdr:row>
                <xdr:rowOff>0</xdr:rowOff>
              </to>
            </anchor>
          </objectPr>
        </oleObject>
      </mc:Choice>
      <mc:Fallback>
        <oleObject progId="Equation.3" shapeId="716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8F35-87FF-4485-8652-C73F794C63DC}">
  <dimension ref="A1:S35"/>
  <sheetViews>
    <sheetView workbookViewId="0">
      <selection activeCell="H20" sqref="H20"/>
    </sheetView>
  </sheetViews>
  <sheetFormatPr defaultColWidth="11.42578125" defaultRowHeight="12"/>
  <cols>
    <col min="7" max="8" width="12" bestFit="1" customWidth="1"/>
  </cols>
  <sheetData>
    <row r="1" spans="1:19">
      <c r="A1" t="s">
        <v>50</v>
      </c>
    </row>
    <row r="2" spans="1:19">
      <c r="A2" t="s">
        <v>51</v>
      </c>
    </row>
    <row r="3" spans="1:19">
      <c r="A3" t="s">
        <v>3</v>
      </c>
      <c r="B3">
        <v>0.8</v>
      </c>
    </row>
    <row r="4" spans="1:19">
      <c r="A4" t="s">
        <v>0</v>
      </c>
      <c r="B4">
        <v>0.5</v>
      </c>
    </row>
    <row r="5" spans="1:19">
      <c r="A5" t="s">
        <v>1</v>
      </c>
      <c r="B5">
        <f>-5.9+0.355*B3*100</f>
        <v>22.5</v>
      </c>
      <c r="C5" s="3" t="s">
        <v>14</v>
      </c>
      <c r="D5">
        <f>B5*4.194</f>
        <v>94.364999999999995</v>
      </c>
      <c r="E5" t="s">
        <v>15</v>
      </c>
    </row>
    <row r="6" spans="1:19">
      <c r="A6" t="s">
        <v>17</v>
      </c>
      <c r="B6">
        <f>(2.8-0.076*B3*100)</f>
        <v>-3.2800000000000002</v>
      </c>
      <c r="C6" s="3" t="s">
        <v>16</v>
      </c>
    </row>
    <row r="7" spans="1:19">
      <c r="A7" t="s">
        <v>2</v>
      </c>
      <c r="B7" s="2">
        <f>EXP(B6+B5*1000/(1.987*1750))</f>
        <v>24.303746781430529</v>
      </c>
      <c r="C7" s="3" t="s">
        <v>16</v>
      </c>
      <c r="E7">
        <f>B7/1000*100^2/SQRT(101000)</f>
        <v>0.76473777788639985</v>
      </c>
    </row>
    <row r="8" spans="1:19">
      <c r="A8" t="s">
        <v>8</v>
      </c>
      <c r="B8" s="2">
        <v>1</v>
      </c>
      <c r="C8" t="s">
        <v>6</v>
      </c>
    </row>
    <row r="9" spans="1:19">
      <c r="A9" s="8" t="s">
        <v>28</v>
      </c>
      <c r="B9" s="2">
        <v>1800</v>
      </c>
      <c r="C9" s="3" t="s">
        <v>32</v>
      </c>
    </row>
    <row r="10" spans="1:19">
      <c r="A10" t="s">
        <v>5</v>
      </c>
      <c r="B10" s="2">
        <v>0.1</v>
      </c>
      <c r="C10" t="s">
        <v>6</v>
      </c>
    </row>
    <row r="11" spans="1:19">
      <c r="A11" t="s">
        <v>20</v>
      </c>
      <c r="B11" s="1">
        <f>C11/1000000*100</f>
        <v>5.0000000000000001E-3</v>
      </c>
      <c r="C11">
        <v>50</v>
      </c>
      <c r="D11" t="s">
        <v>63</v>
      </c>
    </row>
    <row r="12" spans="1:19">
      <c r="A12" t="s">
        <v>31</v>
      </c>
      <c r="B12" s="2">
        <v>1000</v>
      </c>
      <c r="C12" t="s">
        <v>32</v>
      </c>
    </row>
    <row r="13" spans="1:19">
      <c r="A13" t="s">
        <v>35</v>
      </c>
      <c r="B13" s="2">
        <v>0.8</v>
      </c>
    </row>
    <row r="14" spans="1:19">
      <c r="A14" t="s">
        <v>36</v>
      </c>
      <c r="B14" s="4">
        <v>5.6699999999999998E-8</v>
      </c>
      <c r="C14" t="s">
        <v>37</v>
      </c>
    </row>
    <row r="15" spans="1:19">
      <c r="B15" s="11">
        <f>B14*0.23901/100^2/1000</f>
        <v>1.3551866999999998E-15</v>
      </c>
      <c r="C15" t="s">
        <v>38</v>
      </c>
      <c r="F15" t="s">
        <v>58</v>
      </c>
      <c r="L15" t="s">
        <v>57</v>
      </c>
    </row>
    <row r="16" spans="1:19">
      <c r="A16" t="s">
        <v>62</v>
      </c>
      <c r="B16" s="9" t="s">
        <v>29</v>
      </c>
      <c r="C16" t="s">
        <v>30</v>
      </c>
      <c r="D16" s="9" t="s">
        <v>7</v>
      </c>
      <c r="E16" t="s">
        <v>18</v>
      </c>
      <c r="F16" t="s">
        <v>59</v>
      </c>
      <c r="G16" t="s">
        <v>12</v>
      </c>
      <c r="H16" t="s">
        <v>13</v>
      </c>
      <c r="I16" t="s">
        <v>52</v>
      </c>
      <c r="J16" t="s">
        <v>10</v>
      </c>
      <c r="K16" t="s">
        <v>33</v>
      </c>
      <c r="L16" t="s">
        <v>34</v>
      </c>
      <c r="M16" t="s">
        <v>39</v>
      </c>
      <c r="N16" t="s">
        <v>40</v>
      </c>
      <c r="O16" t="s">
        <v>41</v>
      </c>
      <c r="P16" t="s">
        <v>43</v>
      </c>
      <c r="Q16" t="s">
        <v>53</v>
      </c>
      <c r="R16" t="s">
        <v>54</v>
      </c>
      <c r="S16" t="s">
        <v>55</v>
      </c>
    </row>
    <row r="17" spans="1:19">
      <c r="A17">
        <v>1400</v>
      </c>
      <c r="B17" s="2">
        <v>1992.9978125763746</v>
      </c>
      <c r="C17" s="3">
        <f>(A17+B17)/2</f>
        <v>1696.4989062881873</v>
      </c>
      <c r="D17">
        <v>3.5910945681984392E-2</v>
      </c>
      <c r="E17" s="5">
        <f>0.00001523*C17^1.67/$B$8</f>
        <v>3.7675097821414281</v>
      </c>
      <c r="F17" s="4">
        <f>2*E17/$B$11</f>
        <v>1507.0039128565711</v>
      </c>
      <c r="G17" s="4">
        <f>F17*($B$10/(0.08205*$B$9*1000)-D17/(0.08205*$B$9*1000))*2*12</f>
        <v>1.5694894272358619E-2</v>
      </c>
      <c r="H17">
        <f>$B$7*EXP(-$B$5*1000/(1.987*B17))*(D17)^$B$4</f>
        <v>1.5694893176804506E-2</v>
      </c>
      <c r="I17">
        <f>ABS(1-G17/H17)</f>
        <v>6.9803222091380235E-8</v>
      </c>
      <c r="J17" s="1">
        <f>1-D17/B17/($B$10/$B$9)</f>
        <v>0.67566596501171616</v>
      </c>
      <c r="K17" s="4">
        <f>(0.00000076893*C17^0.7722)/1000</f>
        <v>2.3974418541829599E-7</v>
      </c>
      <c r="L17" s="4">
        <f>K17*2/$B$11</f>
        <v>9.5897674167318386E-5</v>
      </c>
      <c r="M17" s="4">
        <f>L17*(A17-B17)</f>
        <v>-5.6867111012381712E-2</v>
      </c>
      <c r="N17" s="4">
        <f>$B$13*$B$15*($B$12^4-B17^4)</f>
        <v>-1.602058783705897E-2</v>
      </c>
      <c r="O17" s="4">
        <f>H17*26.4/12</f>
        <v>3.4528764988969916E-2</v>
      </c>
      <c r="P17" s="4">
        <f>M17+N17+O17</f>
        <v>-3.8358933860470769E-2</v>
      </c>
      <c r="Q17" s="2">
        <f>$B$9+1/$L$17*($B$15*$B$13*($B$12^4-B17^4)+H17*26.4/12)</f>
        <v>1992.9992287364407</v>
      </c>
      <c r="R17" s="4">
        <f>(B17-Q17)^2</f>
        <v>2.0055093328962664E-6</v>
      </c>
      <c r="S17" s="4">
        <f>(R17+I17)*1000</f>
        <v>2.0753125549876467E-3</v>
      </c>
    </row>
    <row r="18" spans="1:19">
      <c r="A18">
        <f>A17+100</f>
        <v>1500</v>
      </c>
      <c r="B18" s="2">
        <v>1997.9013501351114</v>
      </c>
      <c r="C18" s="3">
        <f t="shared" ref="C18:C20" si="0">(A18+B18)/2</f>
        <v>1748.9506750675557</v>
      </c>
      <c r="D18">
        <v>3.7164372696816536E-2</v>
      </c>
      <c r="E18" s="5">
        <f>0.00001523*C18^1.67/$B$8</f>
        <v>3.9640436759931386</v>
      </c>
      <c r="F18" s="4">
        <f t="shared" ref="F18:F20" si="1">2*E18/$B$11</f>
        <v>1585.6174703972554</v>
      </c>
      <c r="G18">
        <f>F18*($B$10/(0.08205*$B$9*1000)-D18/(0.08205*$B$9*1000))*2*12</f>
        <v>1.6190659096534388E-2</v>
      </c>
      <c r="H18">
        <f t="shared" ref="H18:H19" si="2">$B$7*EXP(-$B$5*1000/(1.987*B18))*(D18)^$B$4</f>
        <v>1.6190658410494368E-2</v>
      </c>
      <c r="I18">
        <f>ABS(1-G18/H18)</f>
        <v>4.2372583219929538E-8</v>
      </c>
      <c r="J18" s="1">
        <f>1-D18/B18/($B$10/$B$9)</f>
        <v>0.66516929952649662</v>
      </c>
      <c r="K18" s="4">
        <f>(0.00000076893*C18^0.7722)/1000</f>
        <v>2.4544807947105094E-7</v>
      </c>
      <c r="L18" s="4">
        <f t="shared" ref="L18:L21" si="3">K18*2/$B$11</f>
        <v>9.8179231788420376E-5</v>
      </c>
      <c r="M18" s="4">
        <f t="shared" ref="M18:M20" si="4">L18*(A18-B18)</f>
        <v>-4.8883572062682561E-2</v>
      </c>
      <c r="N18" s="4">
        <f>$B$13*$B$15*($B$12^4-B18^4)</f>
        <v>-1.6189546921671023E-2</v>
      </c>
      <c r="O18" s="4">
        <f>H18*26.4/12</f>
        <v>3.5619448503087604E-2</v>
      </c>
      <c r="P18" s="4">
        <f>M18+N18+O18</f>
        <v>-2.945367048126598E-2</v>
      </c>
      <c r="Q18" s="2">
        <f>$B$9+1/$L18*($B$15*$B$13*($B$12^4-B18^4)+H18*26.4/12)</f>
        <v>1997.9023590578574</v>
      </c>
      <c r="R18" s="4">
        <f>(B18-Q18)^2</f>
        <v>1.01792510738757E-6</v>
      </c>
      <c r="S18" s="4">
        <f>(R18+I18)*1000</f>
        <v>1.0602976906074995E-3</v>
      </c>
    </row>
    <row r="19" spans="1:19">
      <c r="A19">
        <f t="shared" ref="A19:A21" si="5">A18+100</f>
        <v>1600</v>
      </c>
      <c r="B19" s="2">
        <v>2002.4037705023634</v>
      </c>
      <c r="C19" s="3">
        <f t="shared" si="0"/>
        <v>1801.2018852511817</v>
      </c>
      <c r="D19">
        <v>3.8406982118117772E-2</v>
      </c>
      <c r="E19" s="5">
        <f>0.00001523*C19^1.67/$B$8</f>
        <v>4.1637926995533912</v>
      </c>
      <c r="F19" s="4">
        <f t="shared" si="1"/>
        <v>1665.5170798213564</v>
      </c>
      <c r="G19">
        <f>F19*($B$10/(0.08205*$B$9*1000)-D19/(0.08205*$B$9*1000))*2*12</f>
        <v>1.6670196754827071E-2</v>
      </c>
      <c r="H19">
        <f t="shared" si="2"/>
        <v>1.6670201046241184E-2</v>
      </c>
      <c r="I19">
        <f>ABS(1-G19/H19)</f>
        <v>2.574302554458896E-7</v>
      </c>
      <c r="J19" s="1">
        <f>1-D19/B19/($B$10/$B$9)</f>
        <v>0.65475210928479233</v>
      </c>
      <c r="K19" s="4">
        <f>(0.00000076893*C19^0.7722)/1000</f>
        <v>2.5109154276440577E-7</v>
      </c>
      <c r="L19" s="4">
        <f t="shared" si="3"/>
        <v>1.0043661710576231E-4</v>
      </c>
      <c r="M19" s="4">
        <f t="shared" si="4"/>
        <v>-4.0416073419860921E-2</v>
      </c>
      <c r="N19" s="4">
        <f>$B$13*$B$15*($B$12^4-B19^4)</f>
        <v>-1.6345784344646182E-2</v>
      </c>
      <c r="O19" s="4">
        <f>H19*26.4/12</f>
        <v>3.66744423017306E-2</v>
      </c>
      <c r="P19" s="4">
        <f>M19+N19+O19</f>
        <v>-2.0087415462776502E-2</v>
      </c>
      <c r="Q19" s="2">
        <f>$B$9+1/$L19*($B$15*$B$13*($B$12^4-B19^4)+H19*26.4/12)</f>
        <v>2002.4028540873478</v>
      </c>
      <c r="R19" s="4">
        <f>(B19-Q19)^2</f>
        <v>8.3981648078260164E-7</v>
      </c>
      <c r="S19" s="4">
        <f>(R19+I19)*1000</f>
        <v>1.0972467362284914E-3</v>
      </c>
    </row>
    <row r="20" spans="1:19">
      <c r="A20">
        <f t="shared" si="5"/>
        <v>1700</v>
      </c>
      <c r="B20" s="2">
        <v>2006.5117677958283</v>
      </c>
      <c r="C20" s="3">
        <f t="shared" si="0"/>
        <v>1853.2558838979141</v>
      </c>
      <c r="D20" s="4">
        <v>3.96392551199116E-2</v>
      </c>
      <c r="E20" s="5">
        <f>0.00001523*C20^1.67/$B$8</f>
        <v>4.3666863712854767</v>
      </c>
      <c r="F20" s="4">
        <f t="shared" si="1"/>
        <v>1746.6745485141905</v>
      </c>
      <c r="G20">
        <f>F20*($B$10/(0.08205*$B$9*1000)-D20/(0.08205*$B$9*1000))*2*12</f>
        <v>1.7132736430860638E-2</v>
      </c>
      <c r="H20" s="4">
        <f>$B$7*EXP(-$B$5*1000/(1.987*B20))*(D20)^$B$4</f>
        <v>1.7132731534658378E-2</v>
      </c>
      <c r="I20">
        <f>ABS(1-G20/H20)</f>
        <v>2.8578059785289156E-7</v>
      </c>
      <c r="J20" s="1">
        <f>1-D20/B20/($B$10/$B$9)</f>
        <v>0.64440448164318398</v>
      </c>
      <c r="K20" s="4">
        <f>(0.00000076893*C20^0.7722)/1000</f>
        <v>2.5667673817410663E-7</v>
      </c>
      <c r="L20" s="4">
        <f t="shared" si="3"/>
        <v>1.0267069526964266E-4</v>
      </c>
      <c r="M20" s="4">
        <f t="shared" si="4"/>
        <v>-3.1469776307924954E-2</v>
      </c>
      <c r="N20" s="4">
        <f>$B$13*$B$15*($B$12^4-B20^4)</f>
        <v>-1.6489257432777005E-2</v>
      </c>
      <c r="O20" s="4">
        <f>H20*26.4/12</f>
        <v>3.7692009376248427E-2</v>
      </c>
      <c r="P20" s="4">
        <f>M20+N20+O20</f>
        <v>-1.0267024364453529E-2</v>
      </c>
      <c r="Q20" s="2">
        <f>$B$9+1/L20*($B$15*$B$13*($B$12^4-B20^4)+H20*26.4/12)</f>
        <v>2006.5122076731527</v>
      </c>
      <c r="R20" s="4">
        <f>(B20-Q20)^2</f>
        <v>1.9349206054306996E-7</v>
      </c>
      <c r="S20" s="4">
        <f>(R20+I20)*1000</f>
        <v>4.792726583959616E-4</v>
      </c>
    </row>
    <row r="21" spans="1:19">
      <c r="A21" s="12">
        <f t="shared" si="5"/>
        <v>1800</v>
      </c>
      <c r="B21" s="13">
        <v>2222.5837335213441</v>
      </c>
      <c r="C21" s="14">
        <f>(A21+B21)/2</f>
        <v>2011.2918667606721</v>
      </c>
      <c r="D21" s="15">
        <v>4.0860639999999997E-2</v>
      </c>
      <c r="E21" s="15">
        <f>0.00001523*C21^1.67/$B$8</f>
        <v>5.0061437490813159</v>
      </c>
      <c r="F21" s="16">
        <f>2*E21/$B$11</f>
        <v>2002.4574996325264</v>
      </c>
      <c r="G21" s="17">
        <f>F21*($B$10/(0.08205*$B$9*1000))*2*12</f>
        <v>3.254044281344752E-2</v>
      </c>
      <c r="H21" s="17">
        <f>G21</f>
        <v>3.254044281344752E-2</v>
      </c>
      <c r="I21" s="12">
        <f>ABS(1-G21/H21)</f>
        <v>0</v>
      </c>
      <c r="J21" s="18">
        <f>1-D21/B21/($B$10/$B$9)</f>
        <v>0.66908264966255016</v>
      </c>
      <c r="K21" s="16">
        <f>(0.00000076893*C21^0.7722)/1000</f>
        <v>2.7341999785951076E-7</v>
      </c>
      <c r="L21" s="16">
        <f t="shared" si="3"/>
        <v>1.093679991438043E-4</v>
      </c>
      <c r="M21" s="16">
        <f>L21*(A21-B21)</f>
        <v>-4.6217137405947989E-2</v>
      </c>
      <c r="N21" s="16">
        <f>$B$13*$B$15*($B$12^4-B21^4)</f>
        <v>-2.5371696034493473E-2</v>
      </c>
      <c r="O21" s="16">
        <f>H21*26.4/12</f>
        <v>7.1588974189584542E-2</v>
      </c>
      <c r="P21" s="16">
        <f>M21+N21+O21</f>
        <v>1.4074914307660169E-7</v>
      </c>
      <c r="Q21" s="13">
        <f>$B$9+1/L21*($B$15*$B$13*($B$12^4-B21^4)+H21*26.4/12)</f>
        <v>2222.5850204530261</v>
      </c>
      <c r="R21" s="16">
        <f>(B21-Q21)^2</f>
        <v>1.656193154106496E-6</v>
      </c>
      <c r="S21" s="16">
        <f>(R21+I21)*1000</f>
        <v>1.656193154106496E-3</v>
      </c>
    </row>
    <row r="22" spans="1:19">
      <c r="A22" s="4"/>
      <c r="B22" s="2"/>
      <c r="C22" s="4"/>
      <c r="D22" s="3"/>
      <c r="E22" s="5"/>
      <c r="F22" s="4"/>
      <c r="J22" s="1"/>
      <c r="K22" s="4"/>
      <c r="L22" s="4"/>
      <c r="M22" s="4"/>
      <c r="N22" s="4"/>
      <c r="O22" s="4"/>
      <c r="P22" s="4"/>
      <c r="Q22" s="2"/>
      <c r="R22" s="4"/>
      <c r="S22" s="4">
        <f>SUM(S17:S21)</f>
        <v>6.3683227943260954E-3</v>
      </c>
    </row>
    <row r="23" spans="1:19">
      <c r="A23" s="4" t="s">
        <v>56</v>
      </c>
      <c r="B23" s="2"/>
      <c r="C23" s="4"/>
      <c r="D23" s="5"/>
      <c r="E23" s="5"/>
      <c r="F23" s="4"/>
      <c r="J23" s="1"/>
      <c r="K23" s="4"/>
      <c r="L23" s="4"/>
      <c r="M23" s="4"/>
      <c r="N23" s="4"/>
      <c r="O23" s="4"/>
      <c r="P23" s="4"/>
      <c r="Q23" s="2"/>
      <c r="R23" s="4"/>
    </row>
    <row r="24" spans="1:19">
      <c r="A24" s="4"/>
      <c r="B24" s="2"/>
      <c r="C24" s="4"/>
      <c r="D24" s="5"/>
      <c r="E24" s="5"/>
      <c r="F24" s="4"/>
      <c r="J24" s="1"/>
      <c r="K24" s="4"/>
      <c r="L24" s="4"/>
      <c r="M24" s="4"/>
      <c r="N24" s="4"/>
      <c r="O24" s="4"/>
      <c r="P24" s="4"/>
      <c r="Q24" s="2"/>
      <c r="R24" s="4"/>
    </row>
    <row r="25" spans="1:19">
      <c r="A25" s="4"/>
      <c r="B25" s="4"/>
      <c r="C25" s="4"/>
      <c r="D25" s="4"/>
      <c r="E25" s="5"/>
      <c r="F25" s="4"/>
      <c r="J25" s="1">
        <f>1-D17/$B$10</f>
        <v>0.64089054318015615</v>
      </c>
      <c r="K25" s="4"/>
      <c r="L25" s="4"/>
      <c r="M25" s="4"/>
      <c r="N25" s="4"/>
      <c r="O25" s="4"/>
      <c r="P25" s="4"/>
      <c r="Q25" s="4"/>
      <c r="R25" s="4"/>
    </row>
    <row r="26" spans="1:19">
      <c r="A26" s="4"/>
      <c r="B26" s="4"/>
      <c r="C26" s="4"/>
      <c r="D26" s="4"/>
      <c r="E26" s="5"/>
      <c r="F26" s="4"/>
      <c r="J26" s="1">
        <f t="shared" ref="J26:J29" si="6">1-D18/$B$10</f>
        <v>0.62835627303183461</v>
      </c>
      <c r="K26" s="4"/>
      <c r="L26" s="4"/>
      <c r="M26" s="4"/>
      <c r="N26" s="4"/>
      <c r="O26" s="4"/>
      <c r="P26" s="4"/>
      <c r="Q26" s="4"/>
      <c r="R26" s="4"/>
    </row>
    <row r="27" spans="1:19">
      <c r="A27" t="s">
        <v>64</v>
      </c>
      <c r="B27">
        <v>50</v>
      </c>
      <c r="C27" t="s">
        <v>63</v>
      </c>
      <c r="G27">
        <f>SUM(I17:I21)</f>
        <v>6.5538665861009093E-7</v>
      </c>
      <c r="J27" s="1">
        <f t="shared" si="6"/>
        <v>0.61593017881882228</v>
      </c>
      <c r="R27" s="4">
        <f>SUM(R17:R21)</f>
        <v>5.712936135716004E-6</v>
      </c>
    </row>
    <row r="28" spans="1:19">
      <c r="A28" t="s">
        <v>65</v>
      </c>
      <c r="B28">
        <v>0.1</v>
      </c>
      <c r="C28" t="s">
        <v>66</v>
      </c>
      <c r="J28" s="1">
        <f t="shared" si="6"/>
        <v>0.60360744880088402</v>
      </c>
    </row>
    <row r="29" spans="1:19">
      <c r="J29" s="1">
        <f t="shared" si="6"/>
        <v>0.59139360000000007</v>
      </c>
      <c r="K29" s="4"/>
      <c r="N29" s="4"/>
    </row>
    <row r="30" spans="1:19">
      <c r="A30" t="s">
        <v>28</v>
      </c>
      <c r="B30" t="s">
        <v>29</v>
      </c>
      <c r="C30" t="s">
        <v>25</v>
      </c>
      <c r="K30" s="4"/>
      <c r="P30" s="4">
        <f>R27/10000+G27</f>
        <v>6.5595795222366253E-7</v>
      </c>
    </row>
    <row r="31" spans="1:19">
      <c r="A31">
        <v>1400</v>
      </c>
      <c r="B31" s="3">
        <v>1992.9978125763746</v>
      </c>
      <c r="C31" s="1">
        <v>0.67566596501171616</v>
      </c>
      <c r="K31" s="4"/>
    </row>
    <row r="32" spans="1:19">
      <c r="A32">
        <f>A31+100</f>
        <v>1500</v>
      </c>
      <c r="B32" s="3">
        <v>1997.9013501351114</v>
      </c>
      <c r="C32" s="1">
        <v>0.66516929952649662</v>
      </c>
    </row>
    <row r="33" spans="1:3">
      <c r="A33">
        <f t="shared" ref="A33:A35" si="7">A32+100</f>
        <v>1600</v>
      </c>
      <c r="B33" s="3">
        <v>2002.4037705023634</v>
      </c>
      <c r="C33" s="1">
        <v>0.65475210928479233</v>
      </c>
    </row>
    <row r="34" spans="1:3">
      <c r="A34">
        <f t="shared" si="7"/>
        <v>1700</v>
      </c>
      <c r="B34" s="3">
        <v>2006.5117677958283</v>
      </c>
      <c r="C34" s="1">
        <v>0.64440448164318398</v>
      </c>
    </row>
    <row r="35" spans="1:3">
      <c r="A35">
        <f t="shared" si="7"/>
        <v>1800</v>
      </c>
      <c r="B35" s="3">
        <v>2010.24</v>
      </c>
      <c r="C35" s="1">
        <v>0.63412750716332389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>
              <from>
                <xdr:col>7</xdr:col>
                <xdr:colOff>571500</xdr:colOff>
                <xdr:row>2</xdr:row>
                <xdr:rowOff>85725</xdr:rowOff>
              </from>
              <to>
                <xdr:col>27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9217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E77D-D80C-4D4F-BF5F-B09310EC37ED}">
  <dimension ref="A1:S35"/>
  <sheetViews>
    <sheetView workbookViewId="0">
      <selection activeCell="J21" sqref="J21"/>
    </sheetView>
  </sheetViews>
  <sheetFormatPr defaultColWidth="11.42578125" defaultRowHeight="12"/>
  <cols>
    <col min="7" max="8" width="12" bestFit="1" customWidth="1"/>
  </cols>
  <sheetData>
    <row r="1" spans="1:19">
      <c r="A1" t="s">
        <v>50</v>
      </c>
    </row>
    <row r="2" spans="1:19">
      <c r="A2" t="s">
        <v>51</v>
      </c>
    </row>
    <row r="3" spans="1:19">
      <c r="A3" t="s">
        <v>3</v>
      </c>
      <c r="B3">
        <v>0.8</v>
      </c>
    </row>
    <row r="4" spans="1:19">
      <c r="A4" t="s">
        <v>0</v>
      </c>
      <c r="B4">
        <v>0.5</v>
      </c>
    </row>
    <row r="5" spans="1:19">
      <c r="A5" t="s">
        <v>1</v>
      </c>
      <c r="B5">
        <f>-5.9+0.355*B3*100</f>
        <v>22.5</v>
      </c>
      <c r="C5" s="3" t="s">
        <v>14</v>
      </c>
      <c r="D5">
        <f>B5*4.194</f>
        <v>94.364999999999995</v>
      </c>
      <c r="E5" t="s">
        <v>15</v>
      </c>
    </row>
    <row r="6" spans="1:19">
      <c r="A6" t="s">
        <v>17</v>
      </c>
      <c r="B6">
        <f>(2.8-0.076*B3*100)</f>
        <v>-3.2800000000000002</v>
      </c>
      <c r="C6" s="3" t="s">
        <v>16</v>
      </c>
    </row>
    <row r="7" spans="1:19">
      <c r="A7" t="s">
        <v>2</v>
      </c>
      <c r="B7" s="2">
        <f>EXP(B6+B5*1000/(1.987*1750))</f>
        <v>24.303746781430529</v>
      </c>
      <c r="C7" s="3" t="s">
        <v>16</v>
      </c>
      <c r="E7">
        <f>B7/1000*100^2/SQRT(101000)</f>
        <v>0.76473777788639985</v>
      </c>
    </row>
    <row r="8" spans="1:19">
      <c r="A8" t="s">
        <v>8</v>
      </c>
      <c r="B8" s="2">
        <v>1</v>
      </c>
      <c r="C8" t="s">
        <v>6</v>
      </c>
    </row>
    <row r="9" spans="1:19">
      <c r="A9" s="8" t="s">
        <v>28</v>
      </c>
      <c r="B9" s="2">
        <v>1800</v>
      </c>
      <c r="C9" s="3" t="s">
        <v>32</v>
      </c>
    </row>
    <row r="10" spans="1:19">
      <c r="A10" t="s">
        <v>5</v>
      </c>
      <c r="B10" s="2">
        <v>0.1</v>
      </c>
      <c r="C10" t="s">
        <v>6</v>
      </c>
    </row>
    <row r="11" spans="1:19">
      <c r="A11" t="s">
        <v>20</v>
      </c>
      <c r="B11" s="1">
        <f>C11/1000000*100</f>
        <v>5.0000000000000001E-3</v>
      </c>
      <c r="C11">
        <v>50</v>
      </c>
      <c r="D11" t="s">
        <v>63</v>
      </c>
    </row>
    <row r="12" spans="1:19">
      <c r="A12" t="s">
        <v>31</v>
      </c>
      <c r="B12" s="2">
        <v>1000</v>
      </c>
      <c r="C12" t="s">
        <v>32</v>
      </c>
    </row>
    <row r="13" spans="1:19">
      <c r="A13" t="s">
        <v>35</v>
      </c>
      <c r="B13" s="2">
        <v>0.8</v>
      </c>
    </row>
    <row r="14" spans="1:19">
      <c r="A14" t="s">
        <v>36</v>
      </c>
      <c r="B14" s="4">
        <v>5.6699999999999998E-8</v>
      </c>
      <c r="C14" t="s">
        <v>37</v>
      </c>
    </row>
    <row r="15" spans="1:19">
      <c r="B15" s="11">
        <f>B14*0.23901/100^2/1000</f>
        <v>1.3551866999999998E-15</v>
      </c>
      <c r="C15" t="s">
        <v>38</v>
      </c>
      <c r="F15" t="s">
        <v>58</v>
      </c>
      <c r="L15" t="s">
        <v>57</v>
      </c>
    </row>
    <row r="16" spans="1:19">
      <c r="A16" t="s">
        <v>62</v>
      </c>
      <c r="B16" s="9" t="s">
        <v>29</v>
      </c>
      <c r="C16" t="s">
        <v>30</v>
      </c>
      <c r="D16" s="9" t="s">
        <v>7</v>
      </c>
      <c r="E16" t="s">
        <v>18</v>
      </c>
      <c r="F16" t="s">
        <v>59</v>
      </c>
      <c r="G16" t="s">
        <v>12</v>
      </c>
      <c r="H16" t="s">
        <v>13</v>
      </c>
      <c r="I16" t="s">
        <v>52</v>
      </c>
      <c r="J16" t="s">
        <v>10</v>
      </c>
      <c r="K16" t="s">
        <v>33</v>
      </c>
      <c r="L16" t="s">
        <v>34</v>
      </c>
      <c r="M16" t="s">
        <v>39</v>
      </c>
      <c r="N16" t="s">
        <v>40</v>
      </c>
      <c r="O16" t="s">
        <v>41</v>
      </c>
      <c r="P16" t="s">
        <v>43</v>
      </c>
      <c r="Q16" t="s">
        <v>53</v>
      </c>
      <c r="R16" t="s">
        <v>54</v>
      </c>
      <c r="S16" t="s">
        <v>55</v>
      </c>
    </row>
    <row r="17" spans="1:19">
      <c r="A17">
        <v>1400</v>
      </c>
      <c r="B17" s="2">
        <v>1992.9978125763746</v>
      </c>
      <c r="C17" s="3">
        <f>(A17+B17)/2</f>
        <v>1696.4989062881873</v>
      </c>
      <c r="D17">
        <v>3.5910945681984392E-2</v>
      </c>
      <c r="E17" s="5">
        <f>0.00001523*C17^1.67/$B$8</f>
        <v>3.7675097821414281</v>
      </c>
      <c r="F17" s="4">
        <f>2*E17/$B$11</f>
        <v>1507.0039128565711</v>
      </c>
      <c r="G17" s="4">
        <f>F17*($B$10/(0.08205*$B$9*1000)-D17/(0.08205*$B$9*1000))*2*12</f>
        <v>1.5694894272358619E-2</v>
      </c>
      <c r="H17">
        <f>$B$7*EXP(-$B$5*1000/(1.987*B17))*(D17)^$B$4</f>
        <v>1.5694893176804506E-2</v>
      </c>
      <c r="I17">
        <f>ABS(1-G17/H17)</f>
        <v>6.9803222091380235E-8</v>
      </c>
      <c r="J17" s="1">
        <f>1-D17/B17/($B$10/$B$9)</f>
        <v>0.67566596501171616</v>
      </c>
      <c r="K17" s="4">
        <f>(0.00000076893*C17^0.7722)/1000</f>
        <v>2.3974418541829599E-7</v>
      </c>
      <c r="L17" s="4">
        <f>K17*2/$B$11</f>
        <v>9.5897674167318386E-5</v>
      </c>
      <c r="M17" s="4">
        <f>L17*(A17-B17)</f>
        <v>-5.6867111012381712E-2</v>
      </c>
      <c r="N17" s="4">
        <f>$B$13*$B$15*($B$12^4-B17^4)</f>
        <v>-1.602058783705897E-2</v>
      </c>
      <c r="O17" s="4">
        <f>H17*26.4/12</f>
        <v>3.4528764988969916E-2</v>
      </c>
      <c r="P17" s="4">
        <f>M17+N17+O17</f>
        <v>-3.8358933860470769E-2</v>
      </c>
      <c r="Q17" s="2">
        <f>$B$9+1/$L$17*($B$15*$B$13*($B$12^4-B17^4)+H17*26.4/12)</f>
        <v>1992.9992287364407</v>
      </c>
      <c r="R17" s="4">
        <f>(B17-Q17)^2</f>
        <v>2.0055093328962664E-6</v>
      </c>
      <c r="S17" s="4">
        <f>(R17+I17)*1000</f>
        <v>2.0753125549876467E-3</v>
      </c>
    </row>
    <row r="18" spans="1:19">
      <c r="A18">
        <f>A17+100</f>
        <v>1500</v>
      </c>
      <c r="B18" s="2">
        <v>1997.9013501351114</v>
      </c>
      <c r="C18" s="3">
        <f t="shared" ref="C18:C20" si="0">(A18+B18)/2</f>
        <v>1748.9506750675557</v>
      </c>
      <c r="D18">
        <v>3.7164372696816536E-2</v>
      </c>
      <c r="E18" s="5">
        <f>0.00001523*C18^1.67/$B$8</f>
        <v>3.9640436759931386</v>
      </c>
      <c r="F18" s="4">
        <f t="shared" ref="F18:F20" si="1">2*E18/$B$11</f>
        <v>1585.6174703972554</v>
      </c>
      <c r="G18">
        <f>F18*($B$10/(0.08205*$B$9*1000)-D18/(0.08205*$B$9*1000))*2*12</f>
        <v>1.6190659096534388E-2</v>
      </c>
      <c r="H18">
        <f t="shared" ref="H18:H21" si="2">$B$7*EXP(-$B$5*1000/(1.987*B18))*(D18)^$B$4</f>
        <v>1.6190658410494368E-2</v>
      </c>
      <c r="I18">
        <f>ABS(1-G18/H18)</f>
        <v>4.2372583219929538E-8</v>
      </c>
      <c r="J18" s="1">
        <f>1-D18/B18/($B$10/$B$9)</f>
        <v>0.66516929952649662</v>
      </c>
      <c r="K18" s="4">
        <f>(0.00000076893*C18^0.7722)/1000</f>
        <v>2.4544807947105094E-7</v>
      </c>
      <c r="L18" s="4">
        <f t="shared" ref="L18:L21" si="3">K18*2/$B$11</f>
        <v>9.8179231788420376E-5</v>
      </c>
      <c r="M18" s="4">
        <f t="shared" ref="M18:M20" si="4">L18*(A18-B18)</f>
        <v>-4.8883572062682561E-2</v>
      </c>
      <c r="N18" s="4">
        <f>$B$13*$B$15*($B$12^4-B18^4)</f>
        <v>-1.6189546921671023E-2</v>
      </c>
      <c r="O18" s="4">
        <f>H18*26.4/12</f>
        <v>3.5619448503087604E-2</v>
      </c>
      <c r="P18" s="4">
        <f>M18+N18+O18</f>
        <v>-2.945367048126598E-2</v>
      </c>
      <c r="Q18" s="2">
        <f>$B$9+1/$L18*($B$15*$B$13*($B$12^4-B18^4)+H18*26.4/12)</f>
        <v>1997.9023590578574</v>
      </c>
      <c r="R18" s="4">
        <f>(B18-Q18)^2</f>
        <v>1.01792510738757E-6</v>
      </c>
      <c r="S18" s="4">
        <f>(R18+I18)*1000</f>
        <v>1.0602976906074995E-3</v>
      </c>
    </row>
    <row r="19" spans="1:19">
      <c r="A19">
        <f t="shared" ref="A19:A21" si="5">A18+100</f>
        <v>1600</v>
      </c>
      <c r="B19" s="2">
        <v>2002.4037705023634</v>
      </c>
      <c r="C19" s="3">
        <f t="shared" si="0"/>
        <v>1801.2018852511817</v>
      </c>
      <c r="D19">
        <v>3.8406982118117772E-2</v>
      </c>
      <c r="E19" s="5">
        <f>0.00001523*C19^1.67/$B$8</f>
        <v>4.1637926995533912</v>
      </c>
      <c r="F19" s="4">
        <f t="shared" si="1"/>
        <v>1665.5170798213564</v>
      </c>
      <c r="G19">
        <f>F19*($B$10/(0.08205*$B$9*1000)-D19/(0.08205*$B$9*1000))*2*12</f>
        <v>1.6670196754827071E-2</v>
      </c>
      <c r="H19">
        <f t="shared" si="2"/>
        <v>1.6670201046241184E-2</v>
      </c>
      <c r="I19">
        <f>ABS(1-G19/H19)</f>
        <v>2.574302554458896E-7</v>
      </c>
      <c r="J19" s="1">
        <f>1-D19/B19/($B$10/$B$9)</f>
        <v>0.65475210928479233</v>
      </c>
      <c r="K19" s="4">
        <f>(0.00000076893*C19^0.7722)/1000</f>
        <v>2.5109154276440577E-7</v>
      </c>
      <c r="L19" s="4">
        <f t="shared" si="3"/>
        <v>1.0043661710576231E-4</v>
      </c>
      <c r="M19" s="4">
        <f t="shared" si="4"/>
        <v>-4.0416073419860921E-2</v>
      </c>
      <c r="N19" s="4">
        <f>$B$13*$B$15*($B$12^4-B19^4)</f>
        <v>-1.6345784344646182E-2</v>
      </c>
      <c r="O19" s="4">
        <f>H19*26.4/12</f>
        <v>3.66744423017306E-2</v>
      </c>
      <c r="P19" s="4">
        <f>M19+N19+O19</f>
        <v>-2.0087415462776502E-2</v>
      </c>
      <c r="Q19" s="2">
        <f>$B$9+1/$L19*($B$15*$B$13*($B$12^4-B19^4)+H19*26.4/12)</f>
        <v>2002.4028540873478</v>
      </c>
      <c r="R19" s="4">
        <f>(B19-Q19)^2</f>
        <v>8.3981648078260164E-7</v>
      </c>
      <c r="S19" s="4">
        <f>(R19+I19)*1000</f>
        <v>1.0972467362284914E-3</v>
      </c>
    </row>
    <row r="20" spans="1:19">
      <c r="A20">
        <f t="shared" si="5"/>
        <v>1700</v>
      </c>
      <c r="B20" s="2">
        <v>2006.5117677958283</v>
      </c>
      <c r="C20" s="3">
        <f t="shared" si="0"/>
        <v>1853.2558838979141</v>
      </c>
      <c r="D20" s="4">
        <v>3.96392551199116E-2</v>
      </c>
      <c r="E20" s="5">
        <f>0.00001523*C20^1.67/$B$8</f>
        <v>4.3666863712854767</v>
      </c>
      <c r="F20" s="4">
        <f t="shared" si="1"/>
        <v>1746.6745485141905</v>
      </c>
      <c r="G20">
        <f>F20*($B$10/(0.08205*$B$9*1000)-D20/(0.08205*$B$9*1000))*2*12</f>
        <v>1.7132736430860638E-2</v>
      </c>
      <c r="H20">
        <f t="shared" si="2"/>
        <v>1.7132731534658378E-2</v>
      </c>
      <c r="I20">
        <f>ABS(1-G20/H20)</f>
        <v>2.8578059785289156E-7</v>
      </c>
      <c r="J20" s="1">
        <f>1-D20/B20/($B$10/$B$9)</f>
        <v>0.64440448164318398</v>
      </c>
      <c r="K20" s="4">
        <f>(0.00000076893*C20^0.7722)/1000</f>
        <v>2.5667673817410663E-7</v>
      </c>
      <c r="L20" s="4">
        <f t="shared" si="3"/>
        <v>1.0267069526964266E-4</v>
      </c>
      <c r="M20" s="4">
        <f t="shared" si="4"/>
        <v>-3.1469776307924954E-2</v>
      </c>
      <c r="N20" s="4">
        <f>$B$13*$B$15*($B$12^4-B20^4)</f>
        <v>-1.6489257432777005E-2</v>
      </c>
      <c r="O20" s="4">
        <f>H20*26.4/12</f>
        <v>3.7692009376248427E-2</v>
      </c>
      <c r="P20" s="4">
        <f>M20+N20+O20</f>
        <v>-1.0267024364453529E-2</v>
      </c>
      <c r="Q20" s="2">
        <f>$B$9+1/L20*($B$15*$B$13*($B$12^4-B20^4)+H20*26.4/12)</f>
        <v>2006.5122076731527</v>
      </c>
      <c r="R20" s="4">
        <f>(B20-Q20)^2</f>
        <v>1.9349206054306996E-7</v>
      </c>
      <c r="S20" s="4">
        <f>(R20+I20)*1000</f>
        <v>4.792726583959616E-4</v>
      </c>
    </row>
    <row r="21" spans="1:19">
      <c r="A21">
        <f t="shared" si="5"/>
        <v>1800</v>
      </c>
      <c r="B21" s="2">
        <v>2010.24</v>
      </c>
      <c r="C21" s="3">
        <f>(A21+B21)/2</f>
        <v>1905.12</v>
      </c>
      <c r="D21" s="5">
        <v>4.0860639999999997E-2</v>
      </c>
      <c r="E21" s="5">
        <f>0.00001523*C21^1.67/$B$8</f>
        <v>4.5726736276312741</v>
      </c>
      <c r="F21" s="4">
        <f>2*E21/$B$11</f>
        <v>1829.0694510525095</v>
      </c>
      <c r="G21" s="10">
        <f>F21*($B$10/(0.08205*$B$9*1000)-D21/(0.08205*$B$9*1000))*2*12</f>
        <v>1.7577899123428276E-2</v>
      </c>
      <c r="H21">
        <f t="shared" si="2"/>
        <v>1.7577696281962825E-2</v>
      </c>
      <c r="I21">
        <f>ABS(1-G21/H21)</f>
        <v>1.153970703526852E-5</v>
      </c>
      <c r="J21" s="1">
        <f>1-D21/B21/($B$10/$B$9)</f>
        <v>0.63412750716332389</v>
      </c>
      <c r="K21" s="4">
        <f>(0.00000076893*C21^0.7722)/1000</f>
        <v>2.6220612563636404E-7</v>
      </c>
      <c r="L21" s="4">
        <f t="shared" si="3"/>
        <v>1.0488245025454562E-4</v>
      </c>
      <c r="M21" s="4">
        <f>L21*(A21-B21)</f>
        <v>-2.2050486341515671E-2</v>
      </c>
      <c r="N21" s="4">
        <f>$B$13*$B$15*($B$12^4-B21^4)</f>
        <v>-1.6620232138175588E-2</v>
      </c>
      <c r="O21" s="4">
        <f>H21*26.4/12</f>
        <v>3.8670931820318215E-2</v>
      </c>
      <c r="P21" s="4">
        <f>M21+N21+O21</f>
        <v>2.1334062695610445E-7</v>
      </c>
      <c r="Q21" s="2">
        <f>$B$9+1/L21*($B$15*$B$13*($B$12^4-B21^4)+H21*26.4/12)</f>
        <v>2010.2420340927051</v>
      </c>
      <c r="R21" s="4">
        <f>(B21-Q21)^2</f>
        <v>4.1375331330084191E-6</v>
      </c>
      <c r="S21" s="4">
        <f>(R21+I21)*1000</f>
        <v>1.5677240168276943E-2</v>
      </c>
    </row>
    <row r="22" spans="1:19">
      <c r="A22" s="4"/>
      <c r="B22" s="2"/>
      <c r="C22" s="4"/>
      <c r="D22" s="3"/>
      <c r="E22" s="5"/>
      <c r="F22" s="4"/>
      <c r="J22" s="1"/>
      <c r="K22" s="4"/>
      <c r="L22" s="4"/>
      <c r="M22" s="4"/>
      <c r="N22" s="4"/>
      <c r="O22" s="4"/>
      <c r="P22" s="4"/>
      <c r="Q22" s="2"/>
      <c r="R22" s="4"/>
      <c r="S22" s="4">
        <f>SUM(S17:S21)</f>
        <v>2.0389369808496541E-2</v>
      </c>
    </row>
    <row r="23" spans="1:19">
      <c r="A23" s="4" t="s">
        <v>56</v>
      </c>
      <c r="B23" s="2"/>
      <c r="C23" s="4"/>
      <c r="D23" s="5"/>
      <c r="E23" s="5"/>
      <c r="F23" s="4"/>
      <c r="J23" s="1"/>
      <c r="K23" s="4"/>
      <c r="L23" s="4"/>
      <c r="M23" s="4"/>
      <c r="N23" s="4"/>
      <c r="O23" s="4"/>
      <c r="P23" s="4"/>
      <c r="Q23" s="2"/>
      <c r="R23" s="4"/>
    </row>
    <row r="24" spans="1:19">
      <c r="A24" s="4"/>
      <c r="B24" s="2"/>
      <c r="C24" s="4"/>
      <c r="D24" s="5"/>
      <c r="E24" s="5"/>
      <c r="F24" s="4"/>
      <c r="J24" s="1"/>
      <c r="K24" s="4"/>
      <c r="L24" s="4"/>
      <c r="M24" s="4"/>
      <c r="N24" s="4"/>
      <c r="O24" s="4"/>
      <c r="P24" s="4"/>
      <c r="Q24" s="2"/>
      <c r="R24" s="4"/>
    </row>
    <row r="25" spans="1:19">
      <c r="A25" s="4"/>
      <c r="B25" s="4"/>
      <c r="C25" s="4"/>
      <c r="D25" s="4"/>
      <c r="E25" s="5"/>
      <c r="F25" s="4"/>
      <c r="J25" s="1">
        <f>1-D17/$B$10</f>
        <v>0.64089054318015615</v>
      </c>
      <c r="K25" s="4"/>
      <c r="L25" s="4"/>
      <c r="M25" s="4"/>
      <c r="N25" s="4"/>
      <c r="O25" s="4"/>
      <c r="P25" s="4"/>
      <c r="Q25" s="4"/>
      <c r="R25" s="4"/>
    </row>
    <row r="26" spans="1:19">
      <c r="A26" s="4"/>
      <c r="B26" s="4"/>
      <c r="C26" s="4"/>
      <c r="D26" s="4"/>
      <c r="E26" s="5"/>
      <c r="F26" s="4"/>
      <c r="J26" s="1">
        <f t="shared" ref="J26:J29" si="6">1-D18/$B$10</f>
        <v>0.62835627303183461</v>
      </c>
      <c r="K26" s="4"/>
      <c r="L26" s="4"/>
      <c r="M26" s="4"/>
      <c r="N26" s="4"/>
      <c r="O26" s="4"/>
      <c r="P26" s="4"/>
      <c r="Q26" s="4"/>
      <c r="R26" s="4"/>
    </row>
    <row r="27" spans="1:19">
      <c r="A27" t="s">
        <v>64</v>
      </c>
      <c r="B27">
        <v>50</v>
      </c>
      <c r="C27" t="s">
        <v>63</v>
      </c>
      <c r="G27">
        <f>SUM(I17:I21)</f>
        <v>1.2195093693878611E-5</v>
      </c>
      <c r="J27" s="1">
        <f t="shared" si="6"/>
        <v>0.61593017881882228</v>
      </c>
      <c r="R27" s="4">
        <f>SUM(R17:R21)</f>
        <v>8.1942761146179266E-6</v>
      </c>
    </row>
    <row r="28" spans="1:19">
      <c r="A28" t="s">
        <v>65</v>
      </c>
      <c r="B28">
        <v>0.1</v>
      </c>
      <c r="C28" t="s">
        <v>66</v>
      </c>
      <c r="J28" s="1">
        <f t="shared" si="6"/>
        <v>0.60360744880088402</v>
      </c>
    </row>
    <row r="29" spans="1:19">
      <c r="J29" s="1">
        <f t="shared" si="6"/>
        <v>0.59139360000000007</v>
      </c>
      <c r="K29" s="4"/>
      <c r="N29" s="4"/>
    </row>
    <row r="30" spans="1:19">
      <c r="A30" t="s">
        <v>28</v>
      </c>
      <c r="B30" t="s">
        <v>29</v>
      </c>
      <c r="C30" t="s">
        <v>25</v>
      </c>
      <c r="K30" s="4"/>
      <c r="P30" s="4">
        <f>R27/10000+G27</f>
        <v>1.2195913121490073E-5</v>
      </c>
    </row>
    <row r="31" spans="1:19">
      <c r="A31">
        <v>1400</v>
      </c>
      <c r="B31" s="3">
        <v>1992.9978125763746</v>
      </c>
      <c r="C31" s="1">
        <v>0.67566596501171616</v>
      </c>
      <c r="K31" s="4"/>
    </row>
    <row r="32" spans="1:19">
      <c r="A32">
        <f>A31+100</f>
        <v>1500</v>
      </c>
      <c r="B32" s="3">
        <v>1997.9013501351114</v>
      </c>
      <c r="C32" s="1">
        <v>0.66516929952649662</v>
      </c>
    </row>
    <row r="33" spans="1:3">
      <c r="A33">
        <f t="shared" ref="A33:A35" si="7">A32+100</f>
        <v>1600</v>
      </c>
      <c r="B33" s="3">
        <v>2002.4037705023634</v>
      </c>
      <c r="C33" s="1">
        <v>0.65475210928479233</v>
      </c>
    </row>
    <row r="34" spans="1:3">
      <c r="A34">
        <f t="shared" si="7"/>
        <v>1700</v>
      </c>
      <c r="B34" s="3">
        <v>2006.5117677958283</v>
      </c>
      <c r="C34" s="1">
        <v>0.64440448164318398</v>
      </c>
    </row>
    <row r="35" spans="1:3">
      <c r="A35">
        <f t="shared" si="7"/>
        <v>1800</v>
      </c>
      <c r="B35" s="3">
        <v>2010.24</v>
      </c>
      <c r="C35" s="1">
        <v>0.63412750716332389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4" r:id="rId3">
          <objectPr defaultSize="0" autoPict="0" r:id="rId4">
            <anchor moveWithCells="1">
              <from>
                <xdr:col>7</xdr:col>
                <xdr:colOff>571500</xdr:colOff>
                <xdr:row>2</xdr:row>
                <xdr:rowOff>85725</xdr:rowOff>
              </from>
              <to>
                <xdr:col>23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New Units</vt:lpstr>
      <vt:lpstr>Orig units</vt:lpstr>
      <vt:lpstr>1400 K</vt:lpstr>
      <vt:lpstr>21% O2</vt:lpstr>
      <vt:lpstr>10 atm</vt:lpstr>
      <vt:lpstr>Tg=1800</vt:lpstr>
      <vt:lpstr>Tg=1800(new)</vt:lpstr>
      <vt:lpstr>Max Diff rate &amp; T</vt:lpstr>
      <vt:lpstr>Changing Tg</vt:lpstr>
    </vt:vector>
  </TitlesOfParts>
  <Company>BYU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H. Fletcher</dc:creator>
  <cp:lastModifiedBy>Tom</cp:lastModifiedBy>
  <cp:lastPrinted>2006-05-31T14:21:09Z</cp:lastPrinted>
  <dcterms:created xsi:type="dcterms:W3CDTF">2000-05-19T15:05:59Z</dcterms:created>
  <dcterms:modified xsi:type="dcterms:W3CDTF">2022-05-27T13:57:12Z</dcterms:modified>
</cp:coreProperties>
</file>