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14055" windowHeight="6855" activeTab="2"/>
  </bookViews>
  <sheets>
    <sheet name="Chart2" sheetId="5" r:id="rId1"/>
    <sheet name="Chart3" sheetId="7" r:id="rId2"/>
    <sheet name="Numerical Results" sheetId="1" r:id="rId3"/>
  </sheets>
  <calcPr calcId="145621"/>
  <fileRecoveryPr repairLoad="1"/>
</workbook>
</file>

<file path=xl/calcChain.xml><?xml version="1.0" encoding="utf-8"?>
<calcChain xmlns="http://schemas.openxmlformats.org/spreadsheetml/2006/main">
  <c r="J6" i="1" l="1"/>
  <c r="AL60" i="1" s="1"/>
  <c r="L6" i="1"/>
  <c r="AJ6" i="1"/>
  <c r="Z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" i="1"/>
  <c r="AL20" i="1" l="1"/>
  <c r="AL40" i="1"/>
  <c r="AL59" i="1"/>
  <c r="AL16" i="1"/>
  <c r="AL43" i="1"/>
  <c r="AL11" i="1"/>
  <c r="AL10" i="1"/>
  <c r="AL52" i="1"/>
  <c r="AL32" i="1"/>
  <c r="AL8" i="1"/>
  <c r="AL48" i="1"/>
  <c r="AL27" i="1"/>
  <c r="W6" i="1"/>
  <c r="AL64" i="1"/>
  <c r="AL51" i="1"/>
  <c r="AL36" i="1"/>
  <c r="X6" i="1"/>
  <c r="AL6" i="1"/>
  <c r="AL56" i="1"/>
  <c r="AL44" i="1"/>
  <c r="AL35" i="1"/>
  <c r="AL24" i="1"/>
  <c r="AL12" i="1"/>
  <c r="AL28" i="1"/>
  <c r="AL19" i="1"/>
  <c r="AL63" i="1"/>
  <c r="AL55" i="1"/>
  <c r="AL47" i="1"/>
  <c r="AL39" i="1"/>
  <c r="AL31" i="1"/>
  <c r="AL23" i="1"/>
  <c r="AL15" i="1"/>
  <c r="AL7" i="1"/>
  <c r="Y6" i="1"/>
  <c r="M6" i="1"/>
  <c r="Q6" i="1" s="1"/>
  <c r="S6" i="1" s="1"/>
  <c r="AL65" i="1"/>
  <c r="AL61" i="1"/>
  <c r="AL57" i="1"/>
  <c r="AL53" i="1"/>
  <c r="AL49" i="1"/>
  <c r="AL45" i="1"/>
  <c r="AL41" i="1"/>
  <c r="AL37" i="1"/>
  <c r="AL33" i="1"/>
  <c r="AL29" i="1"/>
  <c r="AL25" i="1"/>
  <c r="AL21" i="1"/>
  <c r="AL17" i="1"/>
  <c r="AL13" i="1"/>
  <c r="AL9" i="1"/>
  <c r="AL66" i="1"/>
  <c r="AL62" i="1"/>
  <c r="AL58" i="1"/>
  <c r="AL54" i="1"/>
  <c r="AL50" i="1"/>
  <c r="AL46" i="1"/>
  <c r="AL42" i="1"/>
  <c r="AL38" i="1"/>
  <c r="AL34" i="1"/>
  <c r="AL30" i="1"/>
  <c r="AL26" i="1"/>
  <c r="AL22" i="1"/>
  <c r="AL18" i="1"/>
  <c r="AL14" i="1"/>
  <c r="U6" i="1" l="1"/>
  <c r="AG6" i="1" s="1"/>
  <c r="AE31" i="1" l="1"/>
  <c r="AE8" i="1"/>
  <c r="AE17" i="1"/>
  <c r="AE38" i="1"/>
  <c r="AE52" i="1"/>
  <c r="AE43" i="1"/>
  <c r="AE32" i="1"/>
  <c r="AE63" i="1"/>
  <c r="AE41" i="1"/>
  <c r="AE50" i="1"/>
  <c r="AE14" i="1"/>
  <c r="AE12" i="1"/>
  <c r="AE37" i="1"/>
  <c r="AE58" i="1"/>
  <c r="AE13" i="1"/>
  <c r="AE18" i="1"/>
  <c r="AE57" i="1"/>
  <c r="AE21" i="1"/>
  <c r="AE6" i="1"/>
  <c r="AE61" i="1"/>
  <c r="AE27" i="1"/>
  <c r="AE39" i="1"/>
  <c r="AE20" i="1"/>
  <c r="AE48" i="1"/>
  <c r="AE60" i="1"/>
  <c r="AE56" i="1"/>
  <c r="AE51" i="1"/>
  <c r="AE47" i="1"/>
  <c r="AE34" i="1"/>
  <c r="AE23" i="1"/>
  <c r="AH6" i="1"/>
  <c r="AI6" i="1"/>
  <c r="AE54" i="1"/>
  <c r="AE15" i="1"/>
  <c r="AE11" i="1"/>
  <c r="AE28" i="1"/>
  <c r="AE40" i="1"/>
  <c r="AE35" i="1"/>
  <c r="AE65" i="1"/>
  <c r="AE29" i="1"/>
  <c r="AE45" i="1"/>
  <c r="AE25" i="1"/>
  <c r="AE42" i="1"/>
  <c r="AE22" i="1"/>
  <c r="AE66" i="1"/>
  <c r="AE46" i="1"/>
  <c r="AE53" i="1"/>
  <c r="AE24" i="1"/>
  <c r="AE33" i="1"/>
  <c r="AE19" i="1"/>
  <c r="AE62" i="1"/>
  <c r="AE64" i="1"/>
  <c r="AE59" i="1"/>
  <c r="AE44" i="1"/>
  <c r="AE55" i="1"/>
  <c r="AD6" i="1"/>
  <c r="AE30" i="1"/>
  <c r="AE16" i="1"/>
  <c r="AE26" i="1"/>
  <c r="AE10" i="1"/>
  <c r="AE36" i="1"/>
  <c r="AE49" i="1"/>
  <c r="AE9" i="1"/>
  <c r="AE7" i="1"/>
  <c r="AK44" i="1" l="1"/>
  <c r="AK21" i="1"/>
  <c r="AK8" i="1"/>
  <c r="AK50" i="1"/>
  <c r="AK37" i="1"/>
  <c r="AK61" i="1"/>
  <c r="AK35" i="1"/>
  <c r="AK65" i="1"/>
  <c r="AK64" i="1"/>
  <c r="AK11" i="1"/>
  <c r="AK62" i="1"/>
  <c r="AK54" i="1"/>
  <c r="AK59" i="1"/>
  <c r="AK15" i="1"/>
  <c r="AK25" i="1"/>
  <c r="AK66" i="1"/>
  <c r="AK31" i="1"/>
  <c r="AK36" i="1"/>
  <c r="AK13" i="1"/>
  <c r="AK14" i="1"/>
  <c r="AK60" i="1"/>
  <c r="AK6" i="1"/>
  <c r="AK34" i="1"/>
  <c r="AK23" i="1"/>
  <c r="AK55" i="1"/>
  <c r="AK7" i="1"/>
  <c r="AK49" i="1"/>
  <c r="AK56" i="1"/>
  <c r="AK29" i="1"/>
  <c r="AK57" i="1"/>
  <c r="AK52" i="1"/>
  <c r="AK16" i="1"/>
  <c r="AK9" i="1"/>
  <c r="AK53" i="1"/>
  <c r="AK46" i="1"/>
  <c r="AK63" i="1"/>
  <c r="AK58" i="1"/>
  <c r="AK10" i="1"/>
  <c r="AK32" i="1"/>
  <c r="AK39" i="1"/>
  <c r="AK47" i="1"/>
  <c r="AK41" i="1"/>
  <c r="AK42" i="1"/>
  <c r="AK40" i="1"/>
  <c r="AK33" i="1"/>
  <c r="AK51" i="1"/>
  <c r="AK17" i="1"/>
  <c r="AK45" i="1"/>
  <c r="AK26" i="1"/>
  <c r="AK48" i="1"/>
  <c r="AK38" i="1"/>
  <c r="AK22" i="1"/>
  <c r="AK27" i="1"/>
  <c r="AK20" i="1"/>
  <c r="AK28" i="1"/>
  <c r="AK30" i="1"/>
  <c r="AK19" i="1"/>
  <c r="AK12" i="1"/>
  <c r="AK18" i="1"/>
  <c r="AK43" i="1"/>
  <c r="AK24" i="1"/>
</calcChain>
</file>

<file path=xl/sharedStrings.xml><?xml version="1.0" encoding="utf-8"?>
<sst xmlns="http://schemas.openxmlformats.org/spreadsheetml/2006/main" count="40" uniqueCount="37">
  <si>
    <t>Beta</t>
  </si>
  <si>
    <t>Alpha</t>
  </si>
  <si>
    <t>T_inf</t>
  </si>
  <si>
    <t>T_0</t>
  </si>
  <si>
    <t>Zeta</t>
  </si>
  <si>
    <t>Air Temp</t>
  </si>
  <si>
    <t>Experimental Results</t>
  </si>
  <si>
    <t>Time (sec)</t>
  </si>
  <si>
    <t>Time (min)</t>
  </si>
  <si>
    <t>Air Temp Corr.</t>
  </si>
  <si>
    <t>Ice Temp</t>
  </si>
  <si>
    <t>Ice Temp Corr.</t>
  </si>
  <si>
    <t>Conventional</t>
  </si>
  <si>
    <t>Fast Freezing</t>
  </si>
  <si>
    <t>Radius</t>
  </si>
  <si>
    <t>Surface Area</t>
  </si>
  <si>
    <t>Volume</t>
  </si>
  <si>
    <t>Lumped Capacitance of Conventional (Sphere Approximation--Properties at 289 K)</t>
  </si>
  <si>
    <r>
      <t>Density (</t>
    </r>
    <r>
      <rPr>
        <sz val="11"/>
        <color theme="1"/>
        <rFont val="Calibri"/>
        <family val="2"/>
      </rPr>
      <t>ρ</t>
    </r>
    <r>
      <rPr>
        <sz val="11"/>
        <color theme="1"/>
        <rFont val="Arial"/>
        <family val="2"/>
      </rPr>
      <t>)</t>
    </r>
  </si>
  <si>
    <t>Therm. Con. (k)</t>
  </si>
  <si>
    <r>
      <t>C</t>
    </r>
    <r>
      <rPr>
        <vertAlign val="subscript"/>
        <sz val="11"/>
        <color theme="1"/>
        <rFont val="Arial"/>
        <family val="2"/>
      </rPr>
      <t>p</t>
    </r>
  </si>
  <si>
    <t>Gravity</t>
  </si>
  <si>
    <r>
      <t>Viscosity (</t>
    </r>
    <r>
      <rPr>
        <sz val="11"/>
        <color theme="1"/>
        <rFont val="Calibri"/>
        <family val="2"/>
      </rPr>
      <t>ν</t>
    </r>
    <r>
      <rPr>
        <sz val="11"/>
        <color theme="1"/>
        <rFont val="Arial"/>
        <family val="2"/>
      </rPr>
      <t>)</t>
    </r>
  </si>
  <si>
    <t>Ra Number</t>
  </si>
  <si>
    <t>Pr Number</t>
  </si>
  <si>
    <t>Nu Number</t>
  </si>
  <si>
    <t>Therm. Cond. (k)</t>
  </si>
  <si>
    <t>Conv. Coeff. (h)</t>
  </si>
  <si>
    <t>Theor. Temp</t>
  </si>
  <si>
    <t>Biot Num. (Transient)</t>
  </si>
  <si>
    <t>Biot Num. (Lumped)</t>
  </si>
  <si>
    <r>
      <t>C</t>
    </r>
    <r>
      <rPr>
        <vertAlign val="subscript"/>
        <sz val="11"/>
        <color theme="1"/>
        <rFont val="Arial"/>
        <family val="2"/>
      </rPr>
      <t>1</t>
    </r>
  </si>
  <si>
    <t>Valid for 0.3 &lt; Biot # &lt; 0.4</t>
  </si>
  <si>
    <t>Transient Conduction of Conventional (Sphere Approximation--Properties at 289 K)</t>
  </si>
  <si>
    <t>Calculation of Convection Coefficient (h) (Properties of air taken at 258.7 K)</t>
  </si>
  <si>
    <r>
      <t>F</t>
    </r>
    <r>
      <rPr>
        <vertAlign val="subscript"/>
        <sz val="11"/>
        <color theme="1"/>
        <rFont val="Arial"/>
        <family val="2"/>
      </rPr>
      <t>0</t>
    </r>
  </si>
  <si>
    <t>Theor. Temp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</si>
</sst>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12">
    <xf numFmtId="0" fontId="0" fillId="0" borderId="0" xfId="0"/>
    <xf numFmtId="0" fontId="0" fillId="0" borderId="0" xfId="0" applyFont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1" fontId="0" fillId="0" borderId="0" xfId="0" applyNumberFormat="1" applyFill="1"/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Water Temperature vs. Time</a:t>
            </a:r>
          </a:p>
        </c:rich>
      </c:tx>
      <c:layout>
        <c:manualLayout>
          <c:xMode val="edge"/>
          <c:yMode val="edge"/>
          <c:x val="0.28681566798708036"/>
          <c:y val="9.484684038781536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8575">
              <a:noFill/>
            </a:ln>
          </c:spPr>
          <c:xVal>
            <c:numRef>
              <c:f>'Numerical Results'!$B$6:$B$66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'Numerical Results'!$G$6:$G$66</c:f>
              <c:numCache>
                <c:formatCode>General</c:formatCode>
                <c:ptCount val="61"/>
                <c:pt idx="0">
                  <c:v>25.6</c:v>
                </c:pt>
                <c:pt idx="1">
                  <c:v>25.5</c:v>
                </c:pt>
                <c:pt idx="2">
                  <c:v>25.3</c:v>
                </c:pt>
                <c:pt idx="3">
                  <c:v>24.8</c:v>
                </c:pt>
                <c:pt idx="4">
                  <c:v>24.3</c:v>
                </c:pt>
                <c:pt idx="5">
                  <c:v>23.9</c:v>
                </c:pt>
                <c:pt idx="6">
                  <c:v>23.8</c:v>
                </c:pt>
                <c:pt idx="7">
                  <c:v>23.2</c:v>
                </c:pt>
                <c:pt idx="8">
                  <c:v>22.9</c:v>
                </c:pt>
                <c:pt idx="9">
                  <c:v>22.7</c:v>
                </c:pt>
                <c:pt idx="10">
                  <c:v>22.4</c:v>
                </c:pt>
                <c:pt idx="11">
                  <c:v>22</c:v>
                </c:pt>
                <c:pt idx="12">
                  <c:v>21.7</c:v>
                </c:pt>
                <c:pt idx="13">
                  <c:v>21.2</c:v>
                </c:pt>
                <c:pt idx="14">
                  <c:v>21.2</c:v>
                </c:pt>
                <c:pt idx="15">
                  <c:v>20.9</c:v>
                </c:pt>
                <c:pt idx="16">
                  <c:v>20.6</c:v>
                </c:pt>
                <c:pt idx="17">
                  <c:v>20.2</c:v>
                </c:pt>
                <c:pt idx="18">
                  <c:v>19.899999999999999</c:v>
                </c:pt>
                <c:pt idx="19">
                  <c:v>19.5</c:v>
                </c:pt>
                <c:pt idx="20">
                  <c:v>19.2</c:v>
                </c:pt>
                <c:pt idx="21">
                  <c:v>19</c:v>
                </c:pt>
                <c:pt idx="22">
                  <c:v>18.5</c:v>
                </c:pt>
                <c:pt idx="23">
                  <c:v>18.3</c:v>
                </c:pt>
                <c:pt idx="24">
                  <c:v>18</c:v>
                </c:pt>
                <c:pt idx="25">
                  <c:v>17.7</c:v>
                </c:pt>
                <c:pt idx="26">
                  <c:v>17</c:v>
                </c:pt>
                <c:pt idx="27">
                  <c:v>16.899999999999999</c:v>
                </c:pt>
                <c:pt idx="28">
                  <c:v>16.7</c:v>
                </c:pt>
                <c:pt idx="29">
                  <c:v>16.3</c:v>
                </c:pt>
                <c:pt idx="30">
                  <c:v>16.100000000000001</c:v>
                </c:pt>
                <c:pt idx="31">
                  <c:v>15.6</c:v>
                </c:pt>
                <c:pt idx="32">
                  <c:v>15.4</c:v>
                </c:pt>
                <c:pt idx="33">
                  <c:v>15</c:v>
                </c:pt>
                <c:pt idx="34">
                  <c:v>14.7</c:v>
                </c:pt>
                <c:pt idx="35">
                  <c:v>14.4</c:v>
                </c:pt>
                <c:pt idx="36">
                  <c:v>14.1</c:v>
                </c:pt>
                <c:pt idx="37">
                  <c:v>13.8</c:v>
                </c:pt>
                <c:pt idx="38">
                  <c:v>13.5</c:v>
                </c:pt>
                <c:pt idx="39">
                  <c:v>13.2</c:v>
                </c:pt>
                <c:pt idx="40">
                  <c:v>12.9</c:v>
                </c:pt>
                <c:pt idx="41">
                  <c:v>12.8</c:v>
                </c:pt>
                <c:pt idx="42">
                  <c:v>12.4</c:v>
                </c:pt>
                <c:pt idx="43">
                  <c:v>12.1</c:v>
                </c:pt>
                <c:pt idx="44">
                  <c:v>11.8</c:v>
                </c:pt>
                <c:pt idx="45">
                  <c:v>11.3</c:v>
                </c:pt>
                <c:pt idx="46">
                  <c:v>10.7</c:v>
                </c:pt>
                <c:pt idx="47">
                  <c:v>10.3</c:v>
                </c:pt>
                <c:pt idx="48">
                  <c:v>10.1</c:v>
                </c:pt>
                <c:pt idx="49">
                  <c:v>9.9</c:v>
                </c:pt>
                <c:pt idx="50">
                  <c:v>9.8000000000000007</c:v>
                </c:pt>
                <c:pt idx="51">
                  <c:v>9.3000000000000007</c:v>
                </c:pt>
                <c:pt idx="52">
                  <c:v>8.9</c:v>
                </c:pt>
                <c:pt idx="53">
                  <c:v>8.5</c:v>
                </c:pt>
                <c:pt idx="54">
                  <c:v>8</c:v>
                </c:pt>
                <c:pt idx="55">
                  <c:v>7.3</c:v>
                </c:pt>
                <c:pt idx="56">
                  <c:v>6.7</c:v>
                </c:pt>
                <c:pt idx="57">
                  <c:v>6.5</c:v>
                </c:pt>
                <c:pt idx="58">
                  <c:v>6.1</c:v>
                </c:pt>
                <c:pt idx="59">
                  <c:v>6</c:v>
                </c:pt>
                <c:pt idx="60">
                  <c:v>5.9</c:v>
                </c:pt>
              </c:numCache>
            </c:numRef>
          </c:yVal>
          <c:smooth val="0"/>
        </c:ser>
        <c:ser>
          <c:idx val="1"/>
          <c:order val="1"/>
          <c:tx>
            <c:v>Lumped Capacitance</c:v>
          </c:tx>
          <c:spPr>
            <a:ln w="28575">
              <a:noFill/>
            </a:ln>
          </c:spPr>
          <c:xVal>
            <c:numRef>
              <c:f>'Numerical Results'!$B$6:$B$66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'Numerical Results'!$AE$6:$AE$66</c:f>
              <c:numCache>
                <c:formatCode>General</c:formatCode>
                <c:ptCount val="61"/>
                <c:pt idx="0">
                  <c:v>25.600000000000005</c:v>
                </c:pt>
                <c:pt idx="1">
                  <c:v>25.346212509684303</c:v>
                </c:pt>
                <c:pt idx="2">
                  <c:v>25.094039257219254</c:v>
                </c:pt>
                <c:pt idx="3">
                  <c:v>24.843469975101765</c:v>
                </c:pt>
                <c:pt idx="4">
                  <c:v>24.594494461136126</c:v>
                </c:pt>
                <c:pt idx="5">
                  <c:v>24.347102578018596</c:v>
                </c:pt>
                <c:pt idx="6">
                  <c:v>24.101284252924639</c:v>
                </c:pt>
                <c:pt idx="7">
                  <c:v>23.857029477098845</c:v>
                </c:pt>
                <c:pt idx="8">
                  <c:v>23.614328305447341</c:v>
                </c:pt>
                <c:pt idx="9">
                  <c:v>23.373170856132933</c:v>
                </c:pt>
                <c:pt idx="10">
                  <c:v>23.13354731017272</c:v>
                </c:pt>
                <c:pt idx="11">
                  <c:v>22.895447911038314</c:v>
                </c:pt>
                <c:pt idx="12">
                  <c:v>22.658862964258599</c:v>
                </c:pt>
                <c:pt idx="13">
                  <c:v>22.423782837024984</c:v>
                </c:pt>
                <c:pt idx="14">
                  <c:v>22.190197957799239</c:v>
                </c:pt>
                <c:pt idx="15">
                  <c:v>21.95809881592373</c:v>
                </c:pt>
                <c:pt idx="16">
                  <c:v>21.727475961234209</c:v>
                </c:pt>
                <c:pt idx="17">
                  <c:v>21.498320003675044</c:v>
                </c:pt>
                <c:pt idx="18">
                  <c:v>21.270621612916873</c:v>
                </c:pt>
                <c:pt idx="19">
                  <c:v>21.044371517976739</c:v>
                </c:pt>
                <c:pt idx="20">
                  <c:v>20.81956050684057</c:v>
                </c:pt>
                <c:pt idx="21">
                  <c:v>20.59617942608816</c:v>
                </c:pt>
                <c:pt idx="22">
                  <c:v>20.374219180520409</c:v>
                </c:pt>
                <c:pt idx="23">
                  <c:v>20.153670732789063</c:v>
                </c:pt>
                <c:pt idx="24">
                  <c:v>19.934525103028715</c:v>
                </c:pt>
                <c:pt idx="25">
                  <c:v>19.716773368491186</c:v>
                </c:pt>
                <c:pt idx="26">
                  <c:v>19.500406663182229</c:v>
                </c:pt>
                <c:pt idx="27">
                  <c:v>19.285416177500547</c:v>
                </c:pt>
                <c:pt idx="28">
                  <c:v>19.071793157879096</c:v>
                </c:pt>
                <c:pt idx="29">
                  <c:v>18.859528906428654</c:v>
                </c:pt>
                <c:pt idx="30">
                  <c:v>18.648614780583703</c:v>
                </c:pt>
                <c:pt idx="31">
                  <c:v>18.439042192750545</c:v>
                </c:pt>
                <c:pt idx="32">
                  <c:v>18.23080260995761</c:v>
                </c:pt>
                <c:pt idx="33">
                  <c:v>18.023887553508072</c:v>
                </c:pt>
                <c:pt idx="34">
                  <c:v>17.818288598634599</c:v>
                </c:pt>
                <c:pt idx="35">
                  <c:v>17.613997374156337</c:v>
                </c:pt>
                <c:pt idx="36">
                  <c:v>17.411005562138069</c:v>
                </c:pt>
                <c:pt idx="37">
                  <c:v>17.209304897551551</c:v>
                </c:pt>
                <c:pt idx="38">
                  <c:v>17.008887167938976</c:v>
                </c:pt>
                <c:pt idx="39">
                  <c:v>16.809744213078609</c:v>
                </c:pt>
                <c:pt idx="40">
                  <c:v>16.611867924652529</c:v>
                </c:pt>
                <c:pt idx="41">
                  <c:v>16.415250245916493</c:v>
                </c:pt>
                <c:pt idx="42">
                  <c:v>16.219883171371887</c:v>
                </c:pt>
                <c:pt idx="43">
                  <c:v>16.025758746439788</c:v>
                </c:pt>
                <c:pt idx="44">
                  <c:v>15.832869067137075</c:v>
                </c:pt>
                <c:pt idx="45">
                  <c:v>15.641206279754609</c:v>
                </c:pt>
                <c:pt idx="46">
                  <c:v>15.450762580537479</c:v>
                </c:pt>
                <c:pt idx="47">
                  <c:v>15.26153021536723</c:v>
                </c:pt>
                <c:pt idx="48">
                  <c:v>15.073501479446183</c:v>
                </c:pt>
                <c:pt idx="49">
                  <c:v>14.886668716983706</c:v>
                </c:pt>
                <c:pt idx="50">
                  <c:v>14.701024320884482</c:v>
                </c:pt>
                <c:pt idx="51">
                  <c:v>14.516560732438823</c:v>
                </c:pt>
                <c:pt idx="52">
                  <c:v>14.333270441014871</c:v>
                </c:pt>
                <c:pt idx="53">
                  <c:v>14.151145983752823</c:v>
                </c:pt>
                <c:pt idx="54">
                  <c:v>13.970179945261037</c:v>
                </c:pt>
                <c:pt idx="55">
                  <c:v>13.79036495731415</c:v>
                </c:pt>
                <c:pt idx="56">
                  <c:v>13.611693698553022</c:v>
                </c:pt>
                <c:pt idx="57">
                  <c:v>13.434158894186702</c:v>
                </c:pt>
                <c:pt idx="58">
                  <c:v>13.257753315696167</c:v>
                </c:pt>
                <c:pt idx="59">
                  <c:v>13.082469780540034</c:v>
                </c:pt>
                <c:pt idx="60">
                  <c:v>12.908301151862123</c:v>
                </c:pt>
              </c:numCache>
            </c:numRef>
          </c:yVal>
          <c:smooth val="0"/>
        </c:ser>
        <c:ser>
          <c:idx val="2"/>
          <c:order val="2"/>
          <c:tx>
            <c:v>Transient Conduction</c:v>
          </c:tx>
          <c:spPr>
            <a:ln w="28575">
              <a:noFill/>
            </a:ln>
          </c:spPr>
          <c:xVal>
            <c:numRef>
              <c:f>'Numerical Results'!$B$6:$B$66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'Numerical Results'!$AK$6:$AK$66</c:f>
              <c:numCache>
                <c:formatCode>General</c:formatCode>
                <c:ptCount val="61"/>
                <c:pt idx="0">
                  <c:v>23.169963137063373</c:v>
                </c:pt>
                <c:pt idx="1">
                  <c:v>22.946316624640279</c:v>
                </c:pt>
                <c:pt idx="2">
                  <c:v>22.72400498843086</c:v>
                </c:pt>
                <c:pt idx="3">
                  <c:v>22.503020260975735</c:v>
                </c:pt>
                <c:pt idx="4">
                  <c:v>22.283354522370768</c:v>
                </c:pt>
                <c:pt idx="5">
                  <c:v>22.064999899983295</c:v>
                </c:pt>
                <c:pt idx="6">
                  <c:v>21.847948568169929</c:v>
                </c:pt>
                <c:pt idx="7">
                  <c:v>21.63219274799609</c:v>
                </c:pt>
                <c:pt idx="8">
                  <c:v>21.417724706957248</c:v>
                </c:pt>
                <c:pt idx="9">
                  <c:v>21.204536758701767</c:v>
                </c:pt>
                <c:pt idx="10">
                  <c:v>20.992621262755446</c:v>
                </c:pt>
                <c:pt idx="11">
                  <c:v>20.781970624247695</c:v>
                </c:pt>
                <c:pt idx="12">
                  <c:v>20.572577293639323</c:v>
                </c:pt>
                <c:pt idx="13">
                  <c:v>20.364433766452006</c:v>
                </c:pt>
                <c:pt idx="14">
                  <c:v>20.157532582999277</c:v>
                </c:pt>
                <c:pt idx="15">
                  <c:v>19.951866328119241</c:v>
                </c:pt>
                <c:pt idx="16">
                  <c:v>19.747427630908764</c:v>
                </c:pt>
                <c:pt idx="17">
                  <c:v>19.544209164459343</c:v>
                </c:pt>
                <c:pt idx="18">
                  <c:v>19.342203645594498</c:v>
                </c:pt>
                <c:pt idx="19">
                  <c:v>19.141403834608763</c:v>
                </c:pt>
                <c:pt idx="20">
                  <c:v>18.941802535008218</c:v>
                </c:pt>
                <c:pt idx="21">
                  <c:v>18.743392593252548</c:v>
                </c:pt>
                <c:pt idx="22">
                  <c:v>18.546166898498708</c:v>
                </c:pt>
                <c:pt idx="23">
                  <c:v>18.35011838234605</c:v>
                </c:pt>
                <c:pt idx="24">
                  <c:v>18.155240018582997</c:v>
                </c:pt>
                <c:pt idx="25">
                  <c:v>17.961524822935242</c:v>
                </c:pt>
                <c:pt idx="26">
                  <c:v>17.768965852815423</c:v>
                </c:pt>
                <c:pt idx="27">
                  <c:v>17.577556207074316</c:v>
                </c:pt>
                <c:pt idx="28">
                  <c:v>17.387289025753518</c:v>
                </c:pt>
                <c:pt idx="29">
                  <c:v>17.198157489839552</c:v>
                </c:pt>
                <c:pt idx="30">
                  <c:v>17.01015482101953</c:v>
                </c:pt>
                <c:pt idx="31">
                  <c:v>16.823274281438163</c:v>
                </c:pt>
                <c:pt idx="32">
                  <c:v>16.637509173456358</c:v>
                </c:pt>
                <c:pt idx="33">
                  <c:v>16.452852839411101</c:v>
                </c:pt>
                <c:pt idx="34">
                  <c:v>16.269298661376915</c:v>
                </c:pt>
                <c:pt idx="35">
                  <c:v>16.08684006092864</c:v>
                </c:pt>
                <c:pt idx="36">
                  <c:v>15.905470498905697</c:v>
                </c:pt>
                <c:pt idx="37">
                  <c:v>15.725183475177698</c:v>
                </c:pt>
                <c:pt idx="38">
                  <c:v>15.545972528411522</c:v>
                </c:pt>
                <c:pt idx="39">
                  <c:v>15.367831235839709</c:v>
                </c:pt>
                <c:pt idx="40">
                  <c:v>15.190753213030302</c:v>
                </c:pt>
                <c:pt idx="41">
                  <c:v>15.014732113658027</c:v>
                </c:pt>
                <c:pt idx="42">
                  <c:v>14.83976162927685</c:v>
                </c:pt>
                <c:pt idx="43">
                  <c:v>14.665835489093872</c:v>
                </c:pt>
                <c:pt idx="44">
                  <c:v>14.492947459744592</c:v>
                </c:pt>
                <c:pt idx="45">
                  <c:v>14.321091345069537</c:v>
                </c:pt>
                <c:pt idx="46">
                  <c:v>14.15026098589216</c:v>
                </c:pt>
                <c:pt idx="47">
                  <c:v>13.980450259798122</c:v>
                </c:pt>
                <c:pt idx="48">
                  <c:v>13.81165308091586</c:v>
                </c:pt>
                <c:pt idx="49">
                  <c:v>13.643863399698482</c:v>
                </c:pt>
                <c:pt idx="50">
                  <c:v>13.477075202706949</c:v>
                </c:pt>
                <c:pt idx="51">
                  <c:v>13.311282512394573</c:v>
                </c:pt>
                <c:pt idx="52">
                  <c:v>13.146479386892761</c:v>
                </c:pt>
                <c:pt idx="53">
                  <c:v>12.982659919798081</c:v>
                </c:pt>
                <c:pt idx="54">
                  <c:v>12.819818239960593</c:v>
                </c:pt>
                <c:pt idx="55">
                  <c:v>12.657948511273403</c:v>
                </c:pt>
                <c:pt idx="56">
                  <c:v>12.497044932463531</c:v>
                </c:pt>
                <c:pt idx="57">
                  <c:v>12.337101736883966</c:v>
                </c:pt>
                <c:pt idx="58">
                  <c:v>12.178113192307027</c:v>
                </c:pt>
                <c:pt idx="59">
                  <c:v>12.020073600718906</c:v>
                </c:pt>
                <c:pt idx="60">
                  <c:v>11.862977298115464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96032"/>
        <c:axId val="87197568"/>
      </c:scatterChart>
      <c:valAx>
        <c:axId val="871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(Minutes)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7197568"/>
        <c:crosses val="autoZero"/>
        <c:crossBetween val="midCat"/>
      </c:valAx>
      <c:valAx>
        <c:axId val="8719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</a:t>
                </a:r>
                <a:r>
                  <a:rPr lang="en-US" sz="1400">
                    <a:latin typeface="Times New Roman"/>
                    <a:cs typeface="Times New Roman"/>
                  </a:rPr>
                  <a:t>°</a:t>
                </a:r>
                <a:r>
                  <a:rPr lang="en-US" sz="1400"/>
                  <a:t>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719603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8352078965673624"/>
          <c:y val="0.15740539468616166"/>
          <c:w val="0.63588652511702615"/>
          <c:h val="4.625090413557012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Experimental Results: Temperature vs. Time</a:t>
            </a:r>
          </a:p>
        </c:rich>
      </c:tx>
      <c:layout>
        <c:manualLayout>
          <c:xMode val="edge"/>
          <c:yMode val="edge"/>
          <c:x val="0.25172233638755376"/>
          <c:y val="7.870269734308083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Freezer Air</c:v>
          </c:tx>
          <c:spPr>
            <a:ln w="28575">
              <a:noFill/>
            </a:ln>
          </c:spPr>
          <c:xVal>
            <c:numRef>
              <c:f>'Numerical Results'!$B$6:$B$66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'Numerical Results'!$D$6:$D$66</c:f>
              <c:numCache>
                <c:formatCode>General</c:formatCode>
                <c:ptCount val="61"/>
                <c:pt idx="0">
                  <c:v>-0.5</c:v>
                </c:pt>
                <c:pt idx="1">
                  <c:v>-0.5</c:v>
                </c:pt>
                <c:pt idx="2">
                  <c:v>-4.3</c:v>
                </c:pt>
                <c:pt idx="3">
                  <c:v>-5.4</c:v>
                </c:pt>
                <c:pt idx="4">
                  <c:v>-6</c:v>
                </c:pt>
                <c:pt idx="5">
                  <c:v>-6.2</c:v>
                </c:pt>
                <c:pt idx="6">
                  <c:v>-6.2</c:v>
                </c:pt>
                <c:pt idx="7">
                  <c:v>-6.5</c:v>
                </c:pt>
                <c:pt idx="8">
                  <c:v>-6.7</c:v>
                </c:pt>
                <c:pt idx="9">
                  <c:v>-6.6</c:v>
                </c:pt>
                <c:pt idx="10">
                  <c:v>-6.7</c:v>
                </c:pt>
                <c:pt idx="11">
                  <c:v>-6.7</c:v>
                </c:pt>
                <c:pt idx="12">
                  <c:v>-6.7</c:v>
                </c:pt>
                <c:pt idx="13">
                  <c:v>-6.7</c:v>
                </c:pt>
                <c:pt idx="14">
                  <c:v>-6.7</c:v>
                </c:pt>
                <c:pt idx="15">
                  <c:v>-6.7</c:v>
                </c:pt>
                <c:pt idx="16">
                  <c:v>-6.7</c:v>
                </c:pt>
                <c:pt idx="17">
                  <c:v>-6.8</c:v>
                </c:pt>
                <c:pt idx="18">
                  <c:v>-7</c:v>
                </c:pt>
                <c:pt idx="19">
                  <c:v>-7.9</c:v>
                </c:pt>
                <c:pt idx="20">
                  <c:v>-8</c:v>
                </c:pt>
                <c:pt idx="21">
                  <c:v>-9.1</c:v>
                </c:pt>
                <c:pt idx="22">
                  <c:v>-9.8000000000000007</c:v>
                </c:pt>
                <c:pt idx="23">
                  <c:v>-10.1</c:v>
                </c:pt>
                <c:pt idx="24">
                  <c:v>-10.7</c:v>
                </c:pt>
                <c:pt idx="25">
                  <c:v>-11.1</c:v>
                </c:pt>
                <c:pt idx="26">
                  <c:v>-11.1</c:v>
                </c:pt>
                <c:pt idx="27">
                  <c:v>-11.4</c:v>
                </c:pt>
                <c:pt idx="28">
                  <c:v>-11.7</c:v>
                </c:pt>
                <c:pt idx="29">
                  <c:v>-11.9</c:v>
                </c:pt>
                <c:pt idx="30">
                  <c:v>-12.2</c:v>
                </c:pt>
                <c:pt idx="31">
                  <c:v>-12.3</c:v>
                </c:pt>
                <c:pt idx="32">
                  <c:v>-12.5</c:v>
                </c:pt>
                <c:pt idx="33">
                  <c:v>-12.7</c:v>
                </c:pt>
                <c:pt idx="34">
                  <c:v>-12.7</c:v>
                </c:pt>
                <c:pt idx="35">
                  <c:v>-12.8</c:v>
                </c:pt>
                <c:pt idx="36">
                  <c:v>-12.9</c:v>
                </c:pt>
                <c:pt idx="37">
                  <c:v>-13</c:v>
                </c:pt>
                <c:pt idx="38">
                  <c:v>-13.1</c:v>
                </c:pt>
                <c:pt idx="39">
                  <c:v>-13.1</c:v>
                </c:pt>
                <c:pt idx="40">
                  <c:v>-13.2</c:v>
                </c:pt>
                <c:pt idx="41">
                  <c:v>-13.2</c:v>
                </c:pt>
                <c:pt idx="42">
                  <c:v>-13.2</c:v>
                </c:pt>
                <c:pt idx="43">
                  <c:v>-13.2</c:v>
                </c:pt>
                <c:pt idx="44">
                  <c:v>-13.4</c:v>
                </c:pt>
                <c:pt idx="45">
                  <c:v>-13.5</c:v>
                </c:pt>
                <c:pt idx="46">
                  <c:v>-13.5</c:v>
                </c:pt>
                <c:pt idx="47">
                  <c:v>-13.6</c:v>
                </c:pt>
                <c:pt idx="48">
                  <c:v>-13.6</c:v>
                </c:pt>
                <c:pt idx="49">
                  <c:v>-13.8</c:v>
                </c:pt>
                <c:pt idx="50">
                  <c:v>-13.9</c:v>
                </c:pt>
                <c:pt idx="51">
                  <c:v>-13.9</c:v>
                </c:pt>
                <c:pt idx="52">
                  <c:v>-14</c:v>
                </c:pt>
                <c:pt idx="53">
                  <c:v>-14</c:v>
                </c:pt>
                <c:pt idx="54">
                  <c:v>-14.1</c:v>
                </c:pt>
                <c:pt idx="55">
                  <c:v>-14.2</c:v>
                </c:pt>
                <c:pt idx="56">
                  <c:v>-14.3</c:v>
                </c:pt>
                <c:pt idx="57">
                  <c:v>-14.3</c:v>
                </c:pt>
                <c:pt idx="58">
                  <c:v>-14.3</c:v>
                </c:pt>
                <c:pt idx="59">
                  <c:v>-13.1</c:v>
                </c:pt>
                <c:pt idx="60">
                  <c:v>-12.3</c:v>
                </c:pt>
              </c:numCache>
            </c:numRef>
          </c:yVal>
          <c:smooth val="0"/>
        </c:ser>
        <c:ser>
          <c:idx val="1"/>
          <c:order val="1"/>
          <c:tx>
            <c:v>Conductive Base (Ice)</c:v>
          </c:tx>
          <c:spPr>
            <a:ln w="28575">
              <a:noFill/>
            </a:ln>
          </c:spPr>
          <c:xVal>
            <c:numRef>
              <c:f>'Numerical Results'!$B$6:$B$66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'Numerical Results'!$F$6:$F$66</c:f>
              <c:numCache>
                <c:formatCode>General</c:formatCode>
                <c:ptCount val="61"/>
                <c:pt idx="0">
                  <c:v>-1.7</c:v>
                </c:pt>
                <c:pt idx="1">
                  <c:v>-0.79999999999999982</c:v>
                </c:pt>
                <c:pt idx="2">
                  <c:v>-0.70000000000000018</c:v>
                </c:pt>
                <c:pt idx="3">
                  <c:v>-0.70000000000000018</c:v>
                </c:pt>
                <c:pt idx="4">
                  <c:v>-0.60000000000000009</c:v>
                </c:pt>
                <c:pt idx="5">
                  <c:v>-0.5</c:v>
                </c:pt>
                <c:pt idx="6">
                  <c:v>-0.29999999999999982</c:v>
                </c:pt>
                <c:pt idx="7">
                  <c:v>-0.29999999999999982</c:v>
                </c:pt>
                <c:pt idx="8">
                  <c:v>-0.20000000000000018</c:v>
                </c:pt>
                <c:pt idx="9">
                  <c:v>-0.10000000000000009</c:v>
                </c:pt>
                <c:pt idx="10">
                  <c:v>-0.10000000000000009</c:v>
                </c:pt>
                <c:pt idx="11">
                  <c:v>-0.10000000000000009</c:v>
                </c:pt>
                <c:pt idx="12">
                  <c:v>-0.10000000000000009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-0.10000000000000009</c:v>
                </c:pt>
                <c:pt idx="20">
                  <c:v>-0.10000000000000009</c:v>
                </c:pt>
                <c:pt idx="21">
                  <c:v>-0.10000000000000009</c:v>
                </c:pt>
                <c:pt idx="22">
                  <c:v>-0.20000000000000018</c:v>
                </c:pt>
                <c:pt idx="23">
                  <c:v>-0.29999999999999982</c:v>
                </c:pt>
                <c:pt idx="24">
                  <c:v>-0.29999999999999982</c:v>
                </c:pt>
                <c:pt idx="25">
                  <c:v>-0.29999999999999982</c:v>
                </c:pt>
                <c:pt idx="26">
                  <c:v>-0.29999999999999982</c:v>
                </c:pt>
                <c:pt idx="27">
                  <c:v>-0.29999999999999982</c:v>
                </c:pt>
                <c:pt idx="28">
                  <c:v>-0.39999999999999991</c:v>
                </c:pt>
                <c:pt idx="29">
                  <c:v>-0.39999999999999991</c:v>
                </c:pt>
                <c:pt idx="30">
                  <c:v>-0.39999999999999991</c:v>
                </c:pt>
                <c:pt idx="31">
                  <c:v>-0.5</c:v>
                </c:pt>
                <c:pt idx="32">
                  <c:v>-0.5</c:v>
                </c:pt>
                <c:pt idx="33">
                  <c:v>-0.5</c:v>
                </c:pt>
                <c:pt idx="34">
                  <c:v>-0.5</c:v>
                </c:pt>
                <c:pt idx="35">
                  <c:v>-0.5</c:v>
                </c:pt>
                <c:pt idx="36">
                  <c:v>-0.5</c:v>
                </c:pt>
                <c:pt idx="37">
                  <c:v>-0.5</c:v>
                </c:pt>
                <c:pt idx="38">
                  <c:v>-0.5</c:v>
                </c:pt>
                <c:pt idx="39">
                  <c:v>-0.5</c:v>
                </c:pt>
                <c:pt idx="40">
                  <c:v>-0.5</c:v>
                </c:pt>
                <c:pt idx="41">
                  <c:v>-0.5</c:v>
                </c:pt>
                <c:pt idx="42">
                  <c:v>-0.5</c:v>
                </c:pt>
                <c:pt idx="43">
                  <c:v>-0.5</c:v>
                </c:pt>
                <c:pt idx="44">
                  <c:v>-0.5</c:v>
                </c:pt>
                <c:pt idx="45">
                  <c:v>-0.5</c:v>
                </c:pt>
                <c:pt idx="46">
                  <c:v>-0.5</c:v>
                </c:pt>
                <c:pt idx="47">
                  <c:v>-0.5</c:v>
                </c:pt>
                <c:pt idx="48">
                  <c:v>-0.5</c:v>
                </c:pt>
                <c:pt idx="49">
                  <c:v>-0.5</c:v>
                </c:pt>
                <c:pt idx="50">
                  <c:v>-0.5</c:v>
                </c:pt>
                <c:pt idx="51">
                  <c:v>-0.5</c:v>
                </c:pt>
                <c:pt idx="52">
                  <c:v>-0.60000000000000009</c:v>
                </c:pt>
                <c:pt idx="53">
                  <c:v>-0.60000000000000009</c:v>
                </c:pt>
                <c:pt idx="54">
                  <c:v>-0.60000000000000009</c:v>
                </c:pt>
                <c:pt idx="55">
                  <c:v>-0.5</c:v>
                </c:pt>
                <c:pt idx="56">
                  <c:v>-0.60000000000000009</c:v>
                </c:pt>
                <c:pt idx="57">
                  <c:v>-0.60000000000000009</c:v>
                </c:pt>
                <c:pt idx="58">
                  <c:v>-0.5</c:v>
                </c:pt>
                <c:pt idx="59">
                  <c:v>-0.5</c:v>
                </c:pt>
                <c:pt idx="60">
                  <c:v>-0.39999999999999991</c:v>
                </c:pt>
              </c:numCache>
            </c:numRef>
          </c:yVal>
          <c:smooth val="0"/>
        </c:ser>
        <c:ser>
          <c:idx val="2"/>
          <c:order val="2"/>
          <c:tx>
            <c:v>Conventional Design</c:v>
          </c:tx>
          <c:spPr>
            <a:ln w="28575">
              <a:noFill/>
            </a:ln>
          </c:spPr>
          <c:xVal>
            <c:numRef>
              <c:f>'Numerical Results'!$B$6:$B$66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'Numerical Results'!$G$6:$G$66</c:f>
              <c:numCache>
                <c:formatCode>General</c:formatCode>
                <c:ptCount val="61"/>
                <c:pt idx="0">
                  <c:v>25.6</c:v>
                </c:pt>
                <c:pt idx="1">
                  <c:v>25.5</c:v>
                </c:pt>
                <c:pt idx="2">
                  <c:v>25.3</c:v>
                </c:pt>
                <c:pt idx="3">
                  <c:v>24.8</c:v>
                </c:pt>
                <c:pt idx="4">
                  <c:v>24.3</c:v>
                </c:pt>
                <c:pt idx="5">
                  <c:v>23.9</c:v>
                </c:pt>
                <c:pt idx="6">
                  <c:v>23.8</c:v>
                </c:pt>
                <c:pt idx="7">
                  <c:v>23.2</c:v>
                </c:pt>
                <c:pt idx="8">
                  <c:v>22.9</c:v>
                </c:pt>
                <c:pt idx="9">
                  <c:v>22.7</c:v>
                </c:pt>
                <c:pt idx="10">
                  <c:v>22.4</c:v>
                </c:pt>
                <c:pt idx="11">
                  <c:v>22</c:v>
                </c:pt>
                <c:pt idx="12">
                  <c:v>21.7</c:v>
                </c:pt>
                <c:pt idx="13">
                  <c:v>21.2</c:v>
                </c:pt>
                <c:pt idx="14">
                  <c:v>21.2</c:v>
                </c:pt>
                <c:pt idx="15">
                  <c:v>20.9</c:v>
                </c:pt>
                <c:pt idx="16">
                  <c:v>20.6</c:v>
                </c:pt>
                <c:pt idx="17">
                  <c:v>20.2</c:v>
                </c:pt>
                <c:pt idx="18">
                  <c:v>19.899999999999999</c:v>
                </c:pt>
                <c:pt idx="19">
                  <c:v>19.5</c:v>
                </c:pt>
                <c:pt idx="20">
                  <c:v>19.2</c:v>
                </c:pt>
                <c:pt idx="21">
                  <c:v>19</c:v>
                </c:pt>
                <c:pt idx="22">
                  <c:v>18.5</c:v>
                </c:pt>
                <c:pt idx="23">
                  <c:v>18.3</c:v>
                </c:pt>
                <c:pt idx="24">
                  <c:v>18</c:v>
                </c:pt>
                <c:pt idx="25">
                  <c:v>17.7</c:v>
                </c:pt>
                <c:pt idx="26">
                  <c:v>17</c:v>
                </c:pt>
                <c:pt idx="27">
                  <c:v>16.899999999999999</c:v>
                </c:pt>
                <c:pt idx="28">
                  <c:v>16.7</c:v>
                </c:pt>
                <c:pt idx="29">
                  <c:v>16.3</c:v>
                </c:pt>
                <c:pt idx="30">
                  <c:v>16.100000000000001</c:v>
                </c:pt>
                <c:pt idx="31">
                  <c:v>15.6</c:v>
                </c:pt>
                <c:pt idx="32">
                  <c:v>15.4</c:v>
                </c:pt>
                <c:pt idx="33">
                  <c:v>15</c:v>
                </c:pt>
                <c:pt idx="34">
                  <c:v>14.7</c:v>
                </c:pt>
                <c:pt idx="35">
                  <c:v>14.4</c:v>
                </c:pt>
                <c:pt idx="36">
                  <c:v>14.1</c:v>
                </c:pt>
                <c:pt idx="37">
                  <c:v>13.8</c:v>
                </c:pt>
                <c:pt idx="38">
                  <c:v>13.5</c:v>
                </c:pt>
                <c:pt idx="39">
                  <c:v>13.2</c:v>
                </c:pt>
                <c:pt idx="40">
                  <c:v>12.9</c:v>
                </c:pt>
                <c:pt idx="41">
                  <c:v>12.8</c:v>
                </c:pt>
                <c:pt idx="42">
                  <c:v>12.4</c:v>
                </c:pt>
                <c:pt idx="43">
                  <c:v>12.1</c:v>
                </c:pt>
                <c:pt idx="44">
                  <c:v>11.8</c:v>
                </c:pt>
                <c:pt idx="45">
                  <c:v>11.3</c:v>
                </c:pt>
                <c:pt idx="46">
                  <c:v>10.7</c:v>
                </c:pt>
                <c:pt idx="47">
                  <c:v>10.3</c:v>
                </c:pt>
                <c:pt idx="48">
                  <c:v>10.1</c:v>
                </c:pt>
                <c:pt idx="49">
                  <c:v>9.9</c:v>
                </c:pt>
                <c:pt idx="50">
                  <c:v>9.8000000000000007</c:v>
                </c:pt>
                <c:pt idx="51">
                  <c:v>9.3000000000000007</c:v>
                </c:pt>
                <c:pt idx="52">
                  <c:v>8.9</c:v>
                </c:pt>
                <c:pt idx="53">
                  <c:v>8.5</c:v>
                </c:pt>
                <c:pt idx="54">
                  <c:v>8</c:v>
                </c:pt>
                <c:pt idx="55">
                  <c:v>7.3</c:v>
                </c:pt>
                <c:pt idx="56">
                  <c:v>6.7</c:v>
                </c:pt>
                <c:pt idx="57">
                  <c:v>6.5</c:v>
                </c:pt>
                <c:pt idx="58">
                  <c:v>6.1</c:v>
                </c:pt>
                <c:pt idx="59">
                  <c:v>6</c:v>
                </c:pt>
                <c:pt idx="60">
                  <c:v>5.9</c:v>
                </c:pt>
              </c:numCache>
            </c:numRef>
          </c:yVal>
          <c:smooth val="0"/>
        </c:ser>
        <c:ser>
          <c:idx val="3"/>
          <c:order val="3"/>
          <c:tx>
            <c:v>Fast Freezing Design</c:v>
          </c:tx>
          <c:spPr>
            <a:ln w="28575">
              <a:noFill/>
            </a:ln>
          </c:spPr>
          <c:xVal>
            <c:numRef>
              <c:f>'Numerical Results'!$B$6:$B$66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'Numerical Results'!$H$6:$H$66</c:f>
              <c:numCache>
                <c:formatCode>General</c:formatCode>
                <c:ptCount val="61"/>
                <c:pt idx="0">
                  <c:v>25.3</c:v>
                </c:pt>
                <c:pt idx="1">
                  <c:v>24.9</c:v>
                </c:pt>
                <c:pt idx="2">
                  <c:v>24.6</c:v>
                </c:pt>
                <c:pt idx="3">
                  <c:v>24.1</c:v>
                </c:pt>
                <c:pt idx="4">
                  <c:v>23.4</c:v>
                </c:pt>
                <c:pt idx="5">
                  <c:v>23</c:v>
                </c:pt>
                <c:pt idx="6">
                  <c:v>22.8</c:v>
                </c:pt>
                <c:pt idx="7">
                  <c:v>22.3</c:v>
                </c:pt>
                <c:pt idx="8">
                  <c:v>21.9</c:v>
                </c:pt>
                <c:pt idx="9">
                  <c:v>21.4</c:v>
                </c:pt>
                <c:pt idx="10">
                  <c:v>21</c:v>
                </c:pt>
                <c:pt idx="11">
                  <c:v>20.7</c:v>
                </c:pt>
                <c:pt idx="12">
                  <c:v>20.2</c:v>
                </c:pt>
                <c:pt idx="13">
                  <c:v>19.899999999999999</c:v>
                </c:pt>
                <c:pt idx="14">
                  <c:v>19.5</c:v>
                </c:pt>
                <c:pt idx="15">
                  <c:v>19.3</c:v>
                </c:pt>
                <c:pt idx="16">
                  <c:v>19</c:v>
                </c:pt>
                <c:pt idx="17">
                  <c:v>18.5</c:v>
                </c:pt>
                <c:pt idx="18">
                  <c:v>18.2</c:v>
                </c:pt>
                <c:pt idx="19">
                  <c:v>17.8</c:v>
                </c:pt>
                <c:pt idx="20">
                  <c:v>17.399999999999999</c:v>
                </c:pt>
                <c:pt idx="21">
                  <c:v>16.8</c:v>
                </c:pt>
                <c:pt idx="22">
                  <c:v>16.399999999999999</c:v>
                </c:pt>
                <c:pt idx="23">
                  <c:v>16.100000000000001</c:v>
                </c:pt>
                <c:pt idx="24">
                  <c:v>15.6</c:v>
                </c:pt>
                <c:pt idx="25">
                  <c:v>15</c:v>
                </c:pt>
                <c:pt idx="26">
                  <c:v>14.6</c:v>
                </c:pt>
                <c:pt idx="27">
                  <c:v>13.8</c:v>
                </c:pt>
                <c:pt idx="28">
                  <c:v>13.4</c:v>
                </c:pt>
                <c:pt idx="29">
                  <c:v>12.6</c:v>
                </c:pt>
                <c:pt idx="30">
                  <c:v>11.8</c:v>
                </c:pt>
                <c:pt idx="31">
                  <c:v>11.4</c:v>
                </c:pt>
                <c:pt idx="32">
                  <c:v>11</c:v>
                </c:pt>
                <c:pt idx="33">
                  <c:v>10.6</c:v>
                </c:pt>
                <c:pt idx="34">
                  <c:v>10.3</c:v>
                </c:pt>
                <c:pt idx="35">
                  <c:v>10.199999999999999</c:v>
                </c:pt>
                <c:pt idx="36">
                  <c:v>9.8000000000000007</c:v>
                </c:pt>
                <c:pt idx="37">
                  <c:v>9.6</c:v>
                </c:pt>
                <c:pt idx="38">
                  <c:v>9.4</c:v>
                </c:pt>
                <c:pt idx="39">
                  <c:v>9.1</c:v>
                </c:pt>
                <c:pt idx="40">
                  <c:v>8.8000000000000007</c:v>
                </c:pt>
                <c:pt idx="41">
                  <c:v>8.6</c:v>
                </c:pt>
                <c:pt idx="42">
                  <c:v>8.5</c:v>
                </c:pt>
                <c:pt idx="43">
                  <c:v>8.4</c:v>
                </c:pt>
                <c:pt idx="44">
                  <c:v>8.1999999999999993</c:v>
                </c:pt>
                <c:pt idx="45">
                  <c:v>7.3</c:v>
                </c:pt>
                <c:pt idx="46">
                  <c:v>6.9</c:v>
                </c:pt>
                <c:pt idx="47">
                  <c:v>6.7</c:v>
                </c:pt>
                <c:pt idx="48">
                  <c:v>6.5</c:v>
                </c:pt>
                <c:pt idx="49">
                  <c:v>6.3</c:v>
                </c:pt>
                <c:pt idx="50">
                  <c:v>6.1</c:v>
                </c:pt>
                <c:pt idx="51">
                  <c:v>5.7</c:v>
                </c:pt>
                <c:pt idx="52">
                  <c:v>5.4</c:v>
                </c:pt>
                <c:pt idx="53">
                  <c:v>5.3</c:v>
                </c:pt>
                <c:pt idx="54">
                  <c:v>5.2</c:v>
                </c:pt>
                <c:pt idx="55">
                  <c:v>5</c:v>
                </c:pt>
                <c:pt idx="56">
                  <c:v>4.9000000000000004</c:v>
                </c:pt>
                <c:pt idx="57">
                  <c:v>4.7</c:v>
                </c:pt>
                <c:pt idx="58">
                  <c:v>4.5999999999999996</c:v>
                </c:pt>
                <c:pt idx="59">
                  <c:v>4.4000000000000004</c:v>
                </c:pt>
                <c:pt idx="60">
                  <c:v>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28032"/>
        <c:axId val="165036800"/>
      </c:scatterChart>
      <c:valAx>
        <c:axId val="157228032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(Minutes)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65036800"/>
        <c:crosses val="autoZero"/>
        <c:crossBetween val="midCat"/>
      </c:valAx>
      <c:valAx>
        <c:axId val="16503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 </a:t>
                </a:r>
                <a:r>
                  <a:rPr lang="en-US" sz="1400">
                    <a:latin typeface="Times New Roman"/>
                    <a:cs typeface="Times New Roman"/>
                  </a:rPr>
                  <a:t>°</a:t>
                </a:r>
                <a:r>
                  <a:rPr lang="en-US" sz="1400"/>
                  <a:t>C )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722803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0590292019624296"/>
          <c:y val="0.12108107283550898"/>
          <c:w val="0.5999064620498068"/>
          <c:h val="3.6491642545791528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66"/>
  <sheetViews>
    <sheetView tabSelected="1" topLeftCell="F1" workbookViewId="0">
      <selection activeCell="J6" sqref="J6"/>
    </sheetView>
  </sheetViews>
  <sheetFormatPr defaultRowHeight="14.25" x14ac:dyDescent="0.2"/>
  <cols>
    <col min="1" max="2" width="9.75" bestFit="1" customWidth="1"/>
    <col min="3" max="3" width="8.25" bestFit="1" customWidth="1"/>
    <col min="4" max="4" width="13.875" bestFit="1" customWidth="1"/>
    <col min="5" max="5" width="9" bestFit="1" customWidth="1"/>
    <col min="6" max="6" width="14.125" bestFit="1" customWidth="1"/>
    <col min="7" max="7" width="12.75" bestFit="1" customWidth="1"/>
    <col min="8" max="8" width="13.125" bestFit="1" customWidth="1"/>
    <col min="9" max="9" width="10.75" style="2" customWidth="1"/>
    <col min="10" max="19" width="10.75" style="4" customWidth="1"/>
    <col min="20" max="20" width="14.875" style="4" bestFit="1" customWidth="1"/>
    <col min="21" max="21" width="13.875" style="4" bestFit="1" customWidth="1"/>
    <col min="22" max="22" width="10.75" style="8" customWidth="1"/>
    <col min="23" max="23" width="11.875" bestFit="1" customWidth="1"/>
    <col min="24" max="27" width="10.75" customWidth="1"/>
    <col min="28" max="28" width="13.875" bestFit="1" customWidth="1"/>
    <col min="29" max="29" width="10.75" customWidth="1"/>
    <col min="30" max="30" width="17.5" bestFit="1" customWidth="1"/>
    <col min="31" max="31" width="16.375" bestFit="1" customWidth="1"/>
    <col min="32" max="32" width="9.125" style="8" customWidth="1"/>
    <col min="33" max="33" width="18.5" bestFit="1" customWidth="1"/>
    <col min="34" max="40" width="10.75" customWidth="1"/>
  </cols>
  <sheetData>
    <row r="4" spans="1:41" ht="20.25" x14ac:dyDescent="0.3">
      <c r="A4" s="3" t="s">
        <v>6</v>
      </c>
      <c r="B4" s="3"/>
      <c r="C4" s="3"/>
      <c r="D4" s="3"/>
      <c r="E4" s="3"/>
      <c r="F4" s="3"/>
      <c r="G4" s="3"/>
      <c r="H4" s="3"/>
      <c r="J4" s="5" t="s">
        <v>34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W4" s="3" t="s">
        <v>17</v>
      </c>
      <c r="X4" s="3"/>
      <c r="Y4" s="3"/>
      <c r="Z4" s="3"/>
      <c r="AA4" s="3"/>
      <c r="AB4" s="3"/>
      <c r="AC4" s="3"/>
      <c r="AD4" s="3"/>
      <c r="AE4" s="3"/>
      <c r="AF4" s="9"/>
      <c r="AG4" s="3" t="s">
        <v>33</v>
      </c>
      <c r="AH4" s="3"/>
      <c r="AI4" s="3"/>
      <c r="AJ4" s="3"/>
      <c r="AK4" s="3"/>
      <c r="AL4" s="3"/>
      <c r="AM4" s="3"/>
      <c r="AN4" s="3"/>
      <c r="AO4" s="3"/>
    </row>
    <row r="5" spans="1:41" ht="18.75" x14ac:dyDescent="0.35">
      <c r="A5" s="1" t="s">
        <v>7</v>
      </c>
      <c r="B5" s="1" t="s">
        <v>8</v>
      </c>
      <c r="C5" s="1" t="s">
        <v>5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J5" t="s">
        <v>14</v>
      </c>
      <c r="K5" s="6" t="s">
        <v>21</v>
      </c>
      <c r="L5" s="6" t="s">
        <v>0</v>
      </c>
      <c r="M5" t="s">
        <v>2</v>
      </c>
      <c r="N5" t="s">
        <v>3</v>
      </c>
      <c r="O5" s="4" t="s">
        <v>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W5" t="s">
        <v>15</v>
      </c>
      <c r="X5" t="s">
        <v>16</v>
      </c>
      <c r="Y5" t="s">
        <v>2</v>
      </c>
      <c r="Z5" t="s">
        <v>3</v>
      </c>
      <c r="AA5" t="s">
        <v>18</v>
      </c>
      <c r="AB5" t="s">
        <v>19</v>
      </c>
      <c r="AC5" t="s">
        <v>20</v>
      </c>
      <c r="AD5" t="s">
        <v>30</v>
      </c>
      <c r="AE5" t="s">
        <v>36</v>
      </c>
      <c r="AG5" t="s">
        <v>29</v>
      </c>
      <c r="AH5" t="s">
        <v>4</v>
      </c>
      <c r="AI5" s="4" t="s">
        <v>31</v>
      </c>
      <c r="AJ5" s="4" t="s">
        <v>1</v>
      </c>
      <c r="AK5" t="s">
        <v>28</v>
      </c>
      <c r="AL5" t="s">
        <v>35</v>
      </c>
    </row>
    <row r="6" spans="1:41" x14ac:dyDescent="0.2">
      <c r="A6">
        <v>0</v>
      </c>
      <c r="B6">
        <v>0</v>
      </c>
      <c r="C6">
        <v>2.5</v>
      </c>
      <c r="D6">
        <f>C6-3</f>
        <v>-0.5</v>
      </c>
      <c r="E6">
        <v>1.3</v>
      </c>
      <c r="F6">
        <f>E6-3</f>
        <v>-1.7</v>
      </c>
      <c r="G6">
        <v>25.6</v>
      </c>
      <c r="H6">
        <v>25.3</v>
      </c>
      <c r="J6">
        <f>(0.023*PI()*0.03^2*0.75/PI())^(1/3)</f>
        <v>2.4946552482611486E-2</v>
      </c>
      <c r="K6" s="4">
        <v>9.81</v>
      </c>
      <c r="L6" s="7">
        <f>0.00387</f>
        <v>3.8700000000000002E-3</v>
      </c>
      <c r="M6">
        <f>MIN(D6:D66)</f>
        <v>-14.3</v>
      </c>
      <c r="N6">
        <v>25.6</v>
      </c>
      <c r="O6" s="7">
        <v>1.7E-5</v>
      </c>
      <c r="P6" s="7">
        <v>1.221E-5</v>
      </c>
      <c r="Q6" s="7">
        <f>(K6*L6*(ABS(N6-M6))*(J6*2)^3)/(O6*P6)</f>
        <v>906379.09151611512</v>
      </c>
      <c r="R6" s="4">
        <v>0.71799999999999997</v>
      </c>
      <c r="S6" s="4">
        <f>((0.589*Q6^0.25)/((1+(0.469/R6)^(9/16))^(4/9)))+2</f>
        <v>16.040719611272809</v>
      </c>
      <c r="T6" s="7">
        <v>2.3E-2</v>
      </c>
      <c r="U6" s="4">
        <f>S6*T6/(2*J6)</f>
        <v>7.3945398129948963</v>
      </c>
      <c r="W6">
        <f>4*PI()*J6^2</f>
        <v>7.8204354659391073E-3</v>
      </c>
      <c r="X6">
        <f>(4/3)*PI()*J6^3</f>
        <v>6.5030967929308704E-5</v>
      </c>
      <c r="Y6">
        <f>MIN(D6:D66)</f>
        <v>-14.3</v>
      </c>
      <c r="Z6">
        <f>G6</f>
        <v>25.6</v>
      </c>
      <c r="AA6">
        <v>999</v>
      </c>
      <c r="AB6">
        <v>0.59599999999999997</v>
      </c>
      <c r="AC6">
        <v>4185</v>
      </c>
      <c r="AD6">
        <f>(U6*J6)/(3*AB6)</f>
        <v>0.10317017647071439</v>
      </c>
      <c r="AE6">
        <f>$Y$6+($Z$6-$Y$6)*EXP((-$U$6*$W$6*A6)/($AA$6*$AC$6*$X$6))</f>
        <v>25.600000000000005</v>
      </c>
      <c r="AG6">
        <f>U6*J6/AB6</f>
        <v>0.30951052941214313</v>
      </c>
      <c r="AH6">
        <f>(AG6-0.3)/(0.4-0.3)*(1.0528-0.9208)+0.9208</f>
        <v>0.93335389882402886</v>
      </c>
      <c r="AI6">
        <f>(AG6-0.3)/(0.4-0.3)*(1.1164-1.088)+1.088</f>
        <v>1.0907009903530487</v>
      </c>
      <c r="AJ6">
        <f>AB6/(AA6*AC6)</f>
        <v>1.4255593706011865E-7</v>
      </c>
      <c r="AK6">
        <f>$Y$6+($Z$6-$Y$6)*$AI$6*(SIN($AH$6)/$AH$6)*EXP((-1)*($AH$6^2)*$AJ$6*A6/($J$6^2))</f>
        <v>23.169963137063373</v>
      </c>
      <c r="AL6">
        <f>$AJ$6*A6/($J$6^2)</f>
        <v>0</v>
      </c>
    </row>
    <row r="7" spans="1:41" x14ac:dyDescent="0.2">
      <c r="A7">
        <v>30</v>
      </c>
      <c r="B7">
        <v>0.5</v>
      </c>
      <c r="C7">
        <v>2.5</v>
      </c>
      <c r="D7">
        <f t="shared" ref="D7:D66" si="0">C7-3</f>
        <v>-0.5</v>
      </c>
      <c r="E7">
        <v>2.2000000000000002</v>
      </c>
      <c r="F7">
        <f t="shared" ref="F7:F66" si="1">E7-3</f>
        <v>-0.79999999999999982</v>
      </c>
      <c r="G7">
        <v>25.5</v>
      </c>
      <c r="H7">
        <v>24.9</v>
      </c>
      <c r="J7"/>
      <c r="AE7">
        <f>$Y$6+($Z$6-$Y$6)*EXP((-$U$6*$W$6*A7)/($AA$6*$AC$6*$X$6))</f>
        <v>25.346212509684303</v>
      </c>
      <c r="AH7" s="10" t="s">
        <v>32</v>
      </c>
      <c r="AI7" s="10"/>
      <c r="AK7">
        <f>$Y$6+($Z$6-$Y$6)*$AI$6*(SIN($AH$6)/$AH$6)*EXP((-1)*($AH$6^2)*$AJ$6*A7/($J$6^2))</f>
        <v>22.946316624640279</v>
      </c>
      <c r="AL7">
        <f>$AJ$6*A7/($J$6^2)</f>
        <v>6.8720370349335449E-3</v>
      </c>
    </row>
    <row r="8" spans="1:41" x14ac:dyDescent="0.2">
      <c r="A8">
        <v>60</v>
      </c>
      <c r="B8">
        <v>1</v>
      </c>
      <c r="C8">
        <v>-1.3</v>
      </c>
      <c r="D8">
        <f t="shared" si="0"/>
        <v>-4.3</v>
      </c>
      <c r="E8">
        <v>2.2999999999999998</v>
      </c>
      <c r="F8">
        <f t="shared" si="1"/>
        <v>-0.70000000000000018</v>
      </c>
      <c r="G8">
        <v>25.3</v>
      </c>
      <c r="H8">
        <v>24.6</v>
      </c>
      <c r="AE8">
        <f>$Y$6+($Z$6-$Y$6)*EXP((-$U$6*$W$6*A8)/($AA$6*$AC$6*$X$6))</f>
        <v>25.094039257219254</v>
      </c>
      <c r="AK8">
        <f>$Y$6+($Z$6-$Y$6)*$AI$6*(SIN($AH$6)/$AH$6)*EXP((-1)*($AH$6^2)*$AJ$6*A8/($J$6^2))</f>
        <v>22.72400498843086</v>
      </c>
      <c r="AL8">
        <f>$AJ$6*A8/($J$6^2)</f>
        <v>1.374407406986709E-2</v>
      </c>
    </row>
    <row r="9" spans="1:41" x14ac:dyDescent="0.2">
      <c r="A9">
        <v>90</v>
      </c>
      <c r="B9">
        <v>1.5</v>
      </c>
      <c r="C9">
        <v>-2.4</v>
      </c>
      <c r="D9">
        <f t="shared" si="0"/>
        <v>-5.4</v>
      </c>
      <c r="E9">
        <v>2.2999999999999998</v>
      </c>
      <c r="F9">
        <f t="shared" si="1"/>
        <v>-0.70000000000000018</v>
      </c>
      <c r="G9">
        <v>24.8</v>
      </c>
      <c r="H9">
        <v>24.1</v>
      </c>
      <c r="AE9">
        <f>$Y$6+($Z$6-$Y$6)*EXP((-$U$6*$W$6*A9)/($AA$6*$AC$6*$X$6))</f>
        <v>24.843469975101765</v>
      </c>
      <c r="AK9">
        <f>$Y$6+($Z$6-$Y$6)*$AI$6*(SIN($AH$6)/$AH$6)*EXP((-1)*($AH$6^2)*$AJ$6*A9/($J$6^2))</f>
        <v>22.503020260975735</v>
      </c>
      <c r="AL9">
        <f>$AJ$6*A9/($J$6^2)</f>
        <v>2.0616111104800636E-2</v>
      </c>
    </row>
    <row r="10" spans="1:41" x14ac:dyDescent="0.2">
      <c r="A10">
        <v>120</v>
      </c>
      <c r="B10">
        <v>2</v>
      </c>
      <c r="C10">
        <v>-3</v>
      </c>
      <c r="D10">
        <f t="shared" si="0"/>
        <v>-6</v>
      </c>
      <c r="E10">
        <v>2.4</v>
      </c>
      <c r="F10">
        <f t="shared" si="1"/>
        <v>-0.60000000000000009</v>
      </c>
      <c r="G10">
        <v>24.3</v>
      </c>
      <c r="H10">
        <v>23.4</v>
      </c>
      <c r="AE10">
        <f>$Y$6+($Z$6-$Y$6)*EXP((-$U$6*$W$6*A10)/($AA$6*$AC$6*$X$6))</f>
        <v>24.594494461136126</v>
      </c>
      <c r="AK10">
        <f>$Y$6+($Z$6-$Y$6)*$AI$6*(SIN($AH$6)/$AH$6)*EXP((-1)*($AH$6^2)*$AJ$6*A10/($J$6^2))</f>
        <v>22.283354522370768</v>
      </c>
      <c r="AL10">
        <f>$AJ$6*A10/($J$6^2)</f>
        <v>2.748814813973418E-2</v>
      </c>
    </row>
    <row r="11" spans="1:41" x14ac:dyDescent="0.2">
      <c r="A11">
        <v>150</v>
      </c>
      <c r="B11">
        <v>2.5</v>
      </c>
      <c r="C11">
        <v>-3.2</v>
      </c>
      <c r="D11">
        <f t="shared" si="0"/>
        <v>-6.2</v>
      </c>
      <c r="E11">
        <v>2.5</v>
      </c>
      <c r="F11">
        <f t="shared" si="1"/>
        <v>-0.5</v>
      </c>
      <c r="G11">
        <v>23.9</v>
      </c>
      <c r="H11">
        <v>23</v>
      </c>
      <c r="AE11">
        <f>$Y$6+($Z$6-$Y$6)*EXP((-$U$6*$W$6*A11)/($AA$6*$AC$6*$X$6))</f>
        <v>24.347102578018596</v>
      </c>
      <c r="AK11">
        <f>$Y$6+($Z$6-$Y$6)*$AI$6*(SIN($AH$6)/$AH$6)*EXP((-1)*($AH$6^2)*$AJ$6*A11/($J$6^2))</f>
        <v>22.064999899983295</v>
      </c>
      <c r="AL11">
        <f>$AJ$6*A11/($J$6^2)</f>
        <v>3.4360185174667726E-2</v>
      </c>
    </row>
    <row r="12" spans="1:41" x14ac:dyDescent="0.2">
      <c r="A12">
        <v>180</v>
      </c>
      <c r="B12">
        <v>3</v>
      </c>
      <c r="C12">
        <v>-3.2</v>
      </c>
      <c r="D12">
        <f t="shared" si="0"/>
        <v>-6.2</v>
      </c>
      <c r="E12">
        <v>2.7</v>
      </c>
      <c r="F12">
        <f t="shared" si="1"/>
        <v>-0.29999999999999982</v>
      </c>
      <c r="G12">
        <v>23.8</v>
      </c>
      <c r="H12">
        <v>22.8</v>
      </c>
      <c r="AE12">
        <f>$Y$6+($Z$6-$Y$6)*EXP((-$U$6*$W$6*A12)/($AA$6*$AC$6*$X$6))</f>
        <v>24.101284252924639</v>
      </c>
      <c r="AK12">
        <f>$Y$6+($Z$6-$Y$6)*$AI$6*(SIN($AH$6)/$AH$6)*EXP((-1)*($AH$6^2)*$AJ$6*A12/($J$6^2))</f>
        <v>21.847948568169929</v>
      </c>
      <c r="AL12">
        <f>$AJ$6*A12/($J$6^2)</f>
        <v>4.1232222209601273E-2</v>
      </c>
    </row>
    <row r="13" spans="1:41" x14ac:dyDescent="0.2">
      <c r="A13">
        <v>210</v>
      </c>
      <c r="B13">
        <v>3.5</v>
      </c>
      <c r="C13">
        <v>-3.5</v>
      </c>
      <c r="D13">
        <f t="shared" si="0"/>
        <v>-6.5</v>
      </c>
      <c r="E13">
        <v>2.7</v>
      </c>
      <c r="F13">
        <f t="shared" si="1"/>
        <v>-0.29999999999999982</v>
      </c>
      <c r="G13">
        <v>23.2</v>
      </c>
      <c r="H13">
        <v>22.3</v>
      </c>
      <c r="AE13">
        <f>$Y$6+($Z$6-$Y$6)*EXP((-$U$6*$W$6*A13)/($AA$6*$AC$6*$X$6))</f>
        <v>23.857029477098845</v>
      </c>
      <c r="AK13">
        <f>$Y$6+($Z$6-$Y$6)*$AI$6*(SIN($AH$6)/$AH$6)*EXP((-1)*($AH$6^2)*$AJ$6*A13/($J$6^2))</f>
        <v>21.63219274799609</v>
      </c>
      <c r="AL13">
        <f>$AJ$6*A13/($J$6^2)</f>
        <v>4.8104259244534819E-2</v>
      </c>
    </row>
    <row r="14" spans="1:41" x14ac:dyDescent="0.2">
      <c r="A14">
        <v>240</v>
      </c>
      <c r="B14">
        <v>4</v>
      </c>
      <c r="C14">
        <v>-3.7</v>
      </c>
      <c r="D14">
        <f t="shared" si="0"/>
        <v>-6.7</v>
      </c>
      <c r="E14">
        <v>2.8</v>
      </c>
      <c r="F14">
        <f t="shared" si="1"/>
        <v>-0.20000000000000018</v>
      </c>
      <c r="G14">
        <v>22.9</v>
      </c>
      <c r="H14">
        <v>21.9</v>
      </c>
      <c r="AE14">
        <f>$Y$6+($Z$6-$Y$6)*EXP((-$U$6*$W$6*A14)/($AA$6*$AC$6*$X$6))</f>
        <v>23.614328305447341</v>
      </c>
      <c r="AK14">
        <f>$Y$6+($Z$6-$Y$6)*$AI$6*(SIN($AH$6)/$AH$6)*EXP((-1)*($AH$6^2)*$AJ$6*A14/($J$6^2))</f>
        <v>21.417724706957248</v>
      </c>
      <c r="AL14">
        <f>$AJ$6*A14/($J$6^2)</f>
        <v>5.4976296279468359E-2</v>
      </c>
    </row>
    <row r="15" spans="1:41" x14ac:dyDescent="0.2">
      <c r="A15">
        <v>270</v>
      </c>
      <c r="B15">
        <v>4.5</v>
      </c>
      <c r="C15">
        <v>-3.6</v>
      </c>
      <c r="D15">
        <f t="shared" si="0"/>
        <v>-6.6</v>
      </c>
      <c r="E15">
        <v>2.9</v>
      </c>
      <c r="F15">
        <f t="shared" si="1"/>
        <v>-0.10000000000000009</v>
      </c>
      <c r="G15">
        <v>22.7</v>
      </c>
      <c r="H15">
        <v>21.4</v>
      </c>
      <c r="AE15">
        <f>$Y$6+($Z$6-$Y$6)*EXP((-$U$6*$W$6*A15)/($AA$6*$AC$6*$X$6))</f>
        <v>23.373170856132933</v>
      </c>
      <c r="AK15">
        <f>$Y$6+($Z$6-$Y$6)*$AI$6*(SIN($AH$6)/$AH$6)*EXP((-1)*($AH$6^2)*$AJ$6*A15/($J$6^2))</f>
        <v>21.204536758701767</v>
      </c>
      <c r="AL15">
        <f>$AJ$6*A15/($J$6^2)</f>
        <v>6.1848333314401913E-2</v>
      </c>
    </row>
    <row r="16" spans="1:41" x14ac:dyDescent="0.2">
      <c r="A16">
        <v>300</v>
      </c>
      <c r="B16">
        <v>5</v>
      </c>
      <c r="C16">
        <v>-3.7</v>
      </c>
      <c r="D16">
        <f t="shared" si="0"/>
        <v>-6.7</v>
      </c>
      <c r="E16">
        <v>2.9</v>
      </c>
      <c r="F16">
        <f t="shared" si="1"/>
        <v>-0.10000000000000009</v>
      </c>
      <c r="G16">
        <v>22.4</v>
      </c>
      <c r="H16">
        <v>21</v>
      </c>
      <c r="AE16">
        <f>$Y$6+($Z$6-$Y$6)*EXP((-$U$6*$W$6*A16)/($AA$6*$AC$6*$X$6))</f>
        <v>23.13354731017272</v>
      </c>
      <c r="AK16">
        <f>$Y$6+($Z$6-$Y$6)*$AI$6*(SIN($AH$6)/$AH$6)*EXP((-1)*($AH$6^2)*$AJ$6*A16/($J$6^2))</f>
        <v>20.992621262755446</v>
      </c>
      <c r="AL16">
        <f>$AJ$6*A16/($J$6^2)</f>
        <v>6.8720370349335452E-2</v>
      </c>
    </row>
    <row r="17" spans="1:38" x14ac:dyDescent="0.2">
      <c r="A17">
        <v>330</v>
      </c>
      <c r="B17">
        <v>5.5</v>
      </c>
      <c r="C17">
        <v>-3.7</v>
      </c>
      <c r="D17">
        <f t="shared" si="0"/>
        <v>-6.7</v>
      </c>
      <c r="E17">
        <v>2.9</v>
      </c>
      <c r="F17">
        <f t="shared" si="1"/>
        <v>-0.10000000000000009</v>
      </c>
      <c r="G17">
        <v>22</v>
      </c>
      <c r="H17">
        <v>20.7</v>
      </c>
      <c r="AE17">
        <f>$Y$6+($Z$6-$Y$6)*EXP((-$U$6*$W$6*A17)/($AA$6*$AC$6*$X$6))</f>
        <v>22.895447911038314</v>
      </c>
      <c r="AK17">
        <f>$Y$6+($Z$6-$Y$6)*$AI$6*(SIN($AH$6)/$AH$6)*EXP((-1)*($AH$6^2)*$AJ$6*A17/($J$6^2))</f>
        <v>20.781970624247695</v>
      </c>
      <c r="AL17">
        <f>$AJ$6*A17/($J$6^2)</f>
        <v>7.5592407384269006E-2</v>
      </c>
    </row>
    <row r="18" spans="1:38" x14ac:dyDescent="0.2">
      <c r="A18">
        <v>360</v>
      </c>
      <c r="B18">
        <v>6</v>
      </c>
      <c r="C18">
        <v>-3.7</v>
      </c>
      <c r="D18">
        <f t="shared" si="0"/>
        <v>-6.7</v>
      </c>
      <c r="E18">
        <v>2.9</v>
      </c>
      <c r="F18">
        <f t="shared" si="1"/>
        <v>-0.10000000000000009</v>
      </c>
      <c r="G18">
        <v>21.7</v>
      </c>
      <c r="H18">
        <v>20.2</v>
      </c>
      <c r="AE18">
        <f>$Y$6+($Z$6-$Y$6)*EXP((-$U$6*$W$6*A18)/($AA$6*$AC$6*$X$6))</f>
        <v>22.658862964258599</v>
      </c>
      <c r="AK18">
        <f>$Y$6+($Z$6-$Y$6)*$AI$6*(SIN($AH$6)/$AH$6)*EXP((-1)*($AH$6^2)*$AJ$6*A18/($J$6^2))</f>
        <v>20.572577293639323</v>
      </c>
      <c r="AL18">
        <f>$AJ$6*A18/($J$6^2)</f>
        <v>8.2464444419202546E-2</v>
      </c>
    </row>
    <row r="19" spans="1:38" x14ac:dyDescent="0.2">
      <c r="A19">
        <v>390</v>
      </c>
      <c r="B19">
        <v>6.5</v>
      </c>
      <c r="C19">
        <v>-3.7</v>
      </c>
      <c r="D19">
        <f t="shared" si="0"/>
        <v>-6.7</v>
      </c>
      <c r="E19">
        <v>3</v>
      </c>
      <c r="F19">
        <f t="shared" si="1"/>
        <v>0</v>
      </c>
      <c r="G19">
        <v>21.2</v>
      </c>
      <c r="H19">
        <v>19.899999999999999</v>
      </c>
      <c r="AE19">
        <f>$Y$6+($Z$6-$Y$6)*EXP((-$U$6*$W$6*A19)/($AA$6*$AC$6*$X$6))</f>
        <v>22.423782837024984</v>
      </c>
      <c r="AK19">
        <f>$Y$6+($Z$6-$Y$6)*$AI$6*(SIN($AH$6)/$AH$6)*EXP((-1)*($AH$6^2)*$AJ$6*A19/($J$6^2))</f>
        <v>20.364433766452006</v>
      </c>
      <c r="AL19">
        <f>$AJ$6*A19/($J$6^2)</f>
        <v>8.9336481454136099E-2</v>
      </c>
    </row>
    <row r="20" spans="1:38" x14ac:dyDescent="0.2">
      <c r="A20">
        <v>420</v>
      </c>
      <c r="B20">
        <v>7</v>
      </c>
      <c r="C20">
        <v>-3.7</v>
      </c>
      <c r="D20">
        <f t="shared" si="0"/>
        <v>-6.7</v>
      </c>
      <c r="E20">
        <v>3</v>
      </c>
      <c r="F20">
        <f t="shared" si="1"/>
        <v>0</v>
      </c>
      <c r="G20">
        <v>21.2</v>
      </c>
      <c r="H20">
        <v>19.5</v>
      </c>
      <c r="AE20">
        <f>$Y$6+($Z$6-$Y$6)*EXP((-$U$6*$W$6*A20)/($AA$6*$AC$6*$X$6))</f>
        <v>22.190197957799239</v>
      </c>
      <c r="AK20">
        <f>$Y$6+($Z$6-$Y$6)*$AI$6*(SIN($AH$6)/$AH$6)*EXP((-1)*($AH$6^2)*$AJ$6*A20/($J$6^2))</f>
        <v>20.157532582999277</v>
      </c>
      <c r="AL20">
        <f>$AJ$6*A20/($J$6^2)</f>
        <v>9.6208518489069639E-2</v>
      </c>
    </row>
    <row r="21" spans="1:38" x14ac:dyDescent="0.2">
      <c r="A21">
        <v>450</v>
      </c>
      <c r="B21">
        <v>7.5</v>
      </c>
      <c r="C21">
        <v>-3.7</v>
      </c>
      <c r="D21">
        <f t="shared" si="0"/>
        <v>-6.7</v>
      </c>
      <c r="E21">
        <v>3</v>
      </c>
      <c r="F21">
        <f t="shared" si="1"/>
        <v>0</v>
      </c>
      <c r="G21">
        <v>20.9</v>
      </c>
      <c r="H21">
        <v>19.3</v>
      </c>
      <c r="AE21">
        <f>$Y$6+($Z$6-$Y$6)*EXP((-$U$6*$W$6*A21)/($AA$6*$AC$6*$X$6))</f>
        <v>21.95809881592373</v>
      </c>
      <c r="AK21">
        <f>$Y$6+($Z$6-$Y$6)*$AI$6*(SIN($AH$6)/$AH$6)*EXP((-1)*($AH$6^2)*$AJ$6*A21/($J$6^2))</f>
        <v>19.951866328119241</v>
      </c>
      <c r="AL21">
        <f>$AJ$6*A21/($J$6^2)</f>
        <v>0.10308055552400319</v>
      </c>
    </row>
    <row r="22" spans="1:38" x14ac:dyDescent="0.2">
      <c r="A22">
        <v>480</v>
      </c>
      <c r="B22">
        <v>8</v>
      </c>
      <c r="C22">
        <v>-3.7</v>
      </c>
      <c r="D22">
        <f t="shared" si="0"/>
        <v>-6.7</v>
      </c>
      <c r="E22">
        <v>3</v>
      </c>
      <c r="F22">
        <f t="shared" si="1"/>
        <v>0</v>
      </c>
      <c r="G22">
        <v>20.6</v>
      </c>
      <c r="H22">
        <v>19</v>
      </c>
      <c r="AE22">
        <f>$Y$6+($Z$6-$Y$6)*EXP((-$U$6*$W$6*A22)/($AA$6*$AC$6*$X$6))</f>
        <v>21.727475961234209</v>
      </c>
      <c r="AK22">
        <f>$Y$6+($Z$6-$Y$6)*$AI$6*(SIN($AH$6)/$AH$6)*EXP((-1)*($AH$6^2)*$AJ$6*A22/($J$6^2))</f>
        <v>19.747427630908764</v>
      </c>
      <c r="AL22">
        <f>$AJ$6*A22/($J$6^2)</f>
        <v>0.10995259255893672</v>
      </c>
    </row>
    <row r="23" spans="1:38" x14ac:dyDescent="0.2">
      <c r="A23">
        <v>510</v>
      </c>
      <c r="B23">
        <v>8.5</v>
      </c>
      <c r="C23">
        <v>-3.8</v>
      </c>
      <c r="D23">
        <f t="shared" si="0"/>
        <v>-6.8</v>
      </c>
      <c r="E23">
        <v>3</v>
      </c>
      <c r="F23">
        <f t="shared" si="1"/>
        <v>0</v>
      </c>
      <c r="G23">
        <v>20.2</v>
      </c>
      <c r="H23">
        <v>18.5</v>
      </c>
      <c r="AE23">
        <f>$Y$6+($Z$6-$Y$6)*EXP((-$U$6*$W$6*A23)/($AA$6*$AC$6*$X$6))</f>
        <v>21.498320003675044</v>
      </c>
      <c r="AK23">
        <f>$Y$6+($Z$6-$Y$6)*$AI$6*(SIN($AH$6)/$AH$6)*EXP((-1)*($AH$6^2)*$AJ$6*A23/($J$6^2))</f>
        <v>19.544209164459343</v>
      </c>
      <c r="AL23">
        <f>$AJ$6*A23/($J$6^2)</f>
        <v>0.11682462959387027</v>
      </c>
    </row>
    <row r="24" spans="1:38" x14ac:dyDescent="0.2">
      <c r="A24">
        <v>540</v>
      </c>
      <c r="B24">
        <v>9</v>
      </c>
      <c r="C24">
        <v>-4</v>
      </c>
      <c r="D24">
        <f t="shared" si="0"/>
        <v>-7</v>
      </c>
      <c r="E24">
        <v>3</v>
      </c>
      <c r="F24">
        <f t="shared" si="1"/>
        <v>0</v>
      </c>
      <c r="G24">
        <v>19.899999999999999</v>
      </c>
      <c r="H24">
        <v>18.2</v>
      </c>
      <c r="AE24">
        <f>$Y$6+($Z$6-$Y$6)*EXP((-$U$6*$W$6*A24)/($AA$6*$AC$6*$X$6))</f>
        <v>21.270621612916873</v>
      </c>
      <c r="AK24">
        <f>$Y$6+($Z$6-$Y$6)*$AI$6*(SIN($AH$6)/$AH$6)*EXP((-1)*($AH$6^2)*$AJ$6*A24/($J$6^2))</f>
        <v>19.342203645594498</v>
      </c>
      <c r="AL24">
        <f>$AJ$6*A24/($J$6^2)</f>
        <v>0.12369666662880383</v>
      </c>
    </row>
    <row r="25" spans="1:38" x14ac:dyDescent="0.2">
      <c r="A25">
        <v>570</v>
      </c>
      <c r="B25">
        <v>9.5</v>
      </c>
      <c r="C25">
        <v>-4.9000000000000004</v>
      </c>
      <c r="D25">
        <f t="shared" si="0"/>
        <v>-7.9</v>
      </c>
      <c r="E25">
        <v>2.9</v>
      </c>
      <c r="F25">
        <f t="shared" si="1"/>
        <v>-0.10000000000000009</v>
      </c>
      <c r="G25">
        <v>19.5</v>
      </c>
      <c r="H25">
        <v>17.8</v>
      </c>
      <c r="AE25">
        <f>$Y$6+($Z$6-$Y$6)*EXP((-$U$6*$W$6*A25)/($AA$6*$AC$6*$X$6))</f>
        <v>21.044371517976739</v>
      </c>
      <c r="AK25">
        <f>$Y$6+($Z$6-$Y$6)*$AI$6*(SIN($AH$6)/$AH$6)*EXP((-1)*($AH$6^2)*$AJ$6*A25/($J$6^2))</f>
        <v>19.141403834608763</v>
      </c>
      <c r="AL25">
        <f>$AJ$6*A25/($J$6^2)</f>
        <v>0.13056870366373735</v>
      </c>
    </row>
    <row r="26" spans="1:38" x14ac:dyDescent="0.2">
      <c r="A26">
        <v>600</v>
      </c>
      <c r="B26">
        <v>10</v>
      </c>
      <c r="C26">
        <v>-5</v>
      </c>
      <c r="D26">
        <f t="shared" si="0"/>
        <v>-8</v>
      </c>
      <c r="E26">
        <v>2.9</v>
      </c>
      <c r="F26">
        <f t="shared" si="1"/>
        <v>-0.10000000000000009</v>
      </c>
      <c r="G26">
        <v>19.2</v>
      </c>
      <c r="H26">
        <v>17.399999999999999</v>
      </c>
      <c r="AE26">
        <f>$Y$6+($Z$6-$Y$6)*EXP((-$U$6*$W$6*A26)/($AA$6*$AC$6*$X$6))</f>
        <v>20.81956050684057</v>
      </c>
      <c r="AK26">
        <f>$Y$6+($Z$6-$Y$6)*$AI$6*(SIN($AH$6)/$AH$6)*EXP((-1)*($AH$6^2)*$AJ$6*A26/($J$6^2))</f>
        <v>18.941802535008218</v>
      </c>
      <c r="AL26">
        <f>$AJ$6*A26/($J$6^2)</f>
        <v>0.1374407406986709</v>
      </c>
    </row>
    <row r="27" spans="1:38" x14ac:dyDescent="0.2">
      <c r="A27">
        <v>630</v>
      </c>
      <c r="B27">
        <v>10.5</v>
      </c>
      <c r="C27">
        <v>-6.1</v>
      </c>
      <c r="D27">
        <f t="shared" si="0"/>
        <v>-9.1</v>
      </c>
      <c r="E27">
        <v>2.9</v>
      </c>
      <c r="F27">
        <f t="shared" si="1"/>
        <v>-0.10000000000000009</v>
      </c>
      <c r="G27">
        <v>19</v>
      </c>
      <c r="H27">
        <v>16.8</v>
      </c>
      <c r="AE27">
        <f>$Y$6+($Z$6-$Y$6)*EXP((-$U$6*$W$6*A27)/($AA$6*$AC$6*$X$6))</f>
        <v>20.59617942608816</v>
      </c>
      <c r="AK27">
        <f>$Y$6+($Z$6-$Y$6)*$AI$6*(SIN($AH$6)/$AH$6)*EXP((-1)*($AH$6^2)*$AJ$6*A27/($J$6^2))</f>
        <v>18.743392593252548</v>
      </c>
      <c r="AL27">
        <f>$AJ$6*A27/($J$6^2)</f>
        <v>0.14431277773360446</v>
      </c>
    </row>
    <row r="28" spans="1:38" x14ac:dyDescent="0.2">
      <c r="A28">
        <v>660</v>
      </c>
      <c r="B28">
        <v>11</v>
      </c>
      <c r="C28">
        <v>-6.8</v>
      </c>
      <c r="D28">
        <f t="shared" si="0"/>
        <v>-9.8000000000000007</v>
      </c>
      <c r="E28">
        <v>2.8</v>
      </c>
      <c r="F28">
        <f t="shared" si="1"/>
        <v>-0.20000000000000018</v>
      </c>
      <c r="G28">
        <v>18.5</v>
      </c>
      <c r="H28">
        <v>16.399999999999999</v>
      </c>
      <c r="AE28">
        <f>$Y$6+($Z$6-$Y$6)*EXP((-$U$6*$W$6*A28)/($AA$6*$AC$6*$X$6))</f>
        <v>20.374219180520409</v>
      </c>
      <c r="AK28">
        <f>$Y$6+($Z$6-$Y$6)*$AI$6*(SIN($AH$6)/$AH$6)*EXP((-1)*($AH$6^2)*$AJ$6*A28/($J$6^2))</f>
        <v>18.546166898498708</v>
      </c>
      <c r="AL28">
        <f>$AJ$6*A28/($J$6^2)</f>
        <v>0.15118481476853801</v>
      </c>
    </row>
    <row r="29" spans="1:38" x14ac:dyDescent="0.2">
      <c r="A29">
        <v>690</v>
      </c>
      <c r="B29">
        <v>11.5</v>
      </c>
      <c r="C29">
        <v>-7.1</v>
      </c>
      <c r="D29">
        <f t="shared" si="0"/>
        <v>-10.1</v>
      </c>
      <c r="E29">
        <v>2.7</v>
      </c>
      <c r="F29">
        <f t="shared" si="1"/>
        <v>-0.29999999999999982</v>
      </c>
      <c r="G29">
        <v>18.3</v>
      </c>
      <c r="H29">
        <v>16.100000000000001</v>
      </c>
      <c r="AE29">
        <f>$Y$6+($Z$6-$Y$6)*EXP((-$U$6*$W$6*A29)/($AA$6*$AC$6*$X$6))</f>
        <v>20.153670732789063</v>
      </c>
      <c r="AK29">
        <f>$Y$6+($Z$6-$Y$6)*$AI$6*(SIN($AH$6)/$AH$6)*EXP((-1)*($AH$6^2)*$AJ$6*A29/($J$6^2))</f>
        <v>18.35011838234605</v>
      </c>
      <c r="AL29">
        <f>$AJ$6*A29/($J$6^2)</f>
        <v>0.15805685180347154</v>
      </c>
    </row>
    <row r="30" spans="1:38" x14ac:dyDescent="0.2">
      <c r="A30">
        <v>720</v>
      </c>
      <c r="B30">
        <v>12</v>
      </c>
      <c r="C30">
        <v>-7.7</v>
      </c>
      <c r="D30">
        <f t="shared" si="0"/>
        <v>-10.7</v>
      </c>
      <c r="E30">
        <v>2.7</v>
      </c>
      <c r="F30">
        <f t="shared" si="1"/>
        <v>-0.29999999999999982</v>
      </c>
      <c r="G30">
        <v>18</v>
      </c>
      <c r="H30">
        <v>15.6</v>
      </c>
      <c r="AE30">
        <f>$Y$6+($Z$6-$Y$6)*EXP((-$U$6*$W$6*A30)/($AA$6*$AC$6*$X$6))</f>
        <v>19.934525103028715</v>
      </c>
      <c r="AK30">
        <f>$Y$6+($Z$6-$Y$6)*$AI$6*(SIN($AH$6)/$AH$6)*EXP((-1)*($AH$6^2)*$AJ$6*A30/($J$6^2))</f>
        <v>18.155240018582997</v>
      </c>
      <c r="AL30">
        <f>$AJ$6*A30/($J$6^2)</f>
        <v>0.16492888883840509</v>
      </c>
    </row>
    <row r="31" spans="1:38" x14ac:dyDescent="0.2">
      <c r="A31">
        <v>750</v>
      </c>
      <c r="B31">
        <v>12.5</v>
      </c>
      <c r="C31">
        <v>-8.1</v>
      </c>
      <c r="D31">
        <f t="shared" si="0"/>
        <v>-11.1</v>
      </c>
      <c r="E31">
        <v>2.7</v>
      </c>
      <c r="F31">
        <f t="shared" si="1"/>
        <v>-0.29999999999999982</v>
      </c>
      <c r="G31">
        <v>17.7</v>
      </c>
      <c r="H31">
        <v>15</v>
      </c>
      <c r="AE31">
        <f>$Y$6+($Z$6-$Y$6)*EXP((-$U$6*$W$6*A31)/($AA$6*$AC$6*$X$6))</f>
        <v>19.716773368491186</v>
      </c>
      <c r="AK31">
        <f>$Y$6+($Z$6-$Y$6)*$AI$6*(SIN($AH$6)/$AH$6)*EXP((-1)*($AH$6^2)*$AJ$6*A31/($J$6^2))</f>
        <v>17.961524822935242</v>
      </c>
      <c r="AL31">
        <f>$AJ$6*A31/($J$6^2)</f>
        <v>0.17180092587333864</v>
      </c>
    </row>
    <row r="32" spans="1:38" x14ac:dyDescent="0.2">
      <c r="A32">
        <v>780</v>
      </c>
      <c r="B32">
        <v>13</v>
      </c>
      <c r="C32">
        <v>-8.1</v>
      </c>
      <c r="D32">
        <f t="shared" si="0"/>
        <v>-11.1</v>
      </c>
      <c r="E32">
        <v>2.7</v>
      </c>
      <c r="F32">
        <f t="shared" si="1"/>
        <v>-0.29999999999999982</v>
      </c>
      <c r="G32">
        <v>17</v>
      </c>
      <c r="H32">
        <v>14.6</v>
      </c>
      <c r="AE32">
        <f>$Y$6+($Z$6-$Y$6)*EXP((-$U$6*$W$6*A32)/($AA$6*$AC$6*$X$6))</f>
        <v>19.500406663182229</v>
      </c>
      <c r="AK32">
        <f>$Y$6+($Z$6-$Y$6)*$AI$6*(SIN($AH$6)/$AH$6)*EXP((-1)*($AH$6^2)*$AJ$6*A32/($J$6^2))</f>
        <v>17.768965852815423</v>
      </c>
      <c r="AL32">
        <f>$AJ$6*A32/($J$6^2)</f>
        <v>0.1786729629082722</v>
      </c>
    </row>
    <row r="33" spans="1:38" x14ac:dyDescent="0.2">
      <c r="A33">
        <v>810</v>
      </c>
      <c r="B33">
        <v>13.5</v>
      </c>
      <c r="C33">
        <v>-8.4</v>
      </c>
      <c r="D33">
        <f t="shared" si="0"/>
        <v>-11.4</v>
      </c>
      <c r="E33">
        <v>2.7</v>
      </c>
      <c r="F33">
        <f t="shared" si="1"/>
        <v>-0.29999999999999982</v>
      </c>
      <c r="G33">
        <v>16.899999999999999</v>
      </c>
      <c r="H33">
        <v>13.8</v>
      </c>
      <c r="AE33">
        <f>$Y$6+($Z$6-$Y$6)*EXP((-$U$6*$W$6*A33)/($AA$6*$AC$6*$X$6))</f>
        <v>19.285416177500547</v>
      </c>
      <c r="AK33">
        <f>$Y$6+($Z$6-$Y$6)*$AI$6*(SIN($AH$6)/$AH$6)*EXP((-1)*($AH$6^2)*$AJ$6*A33/($J$6^2))</f>
        <v>17.577556207074316</v>
      </c>
      <c r="AL33">
        <f>$AJ$6*A33/($J$6^2)</f>
        <v>0.18554499994320575</v>
      </c>
    </row>
    <row r="34" spans="1:38" x14ac:dyDescent="0.2">
      <c r="A34">
        <v>840</v>
      </c>
      <c r="B34">
        <v>14</v>
      </c>
      <c r="C34">
        <v>-8.6999999999999993</v>
      </c>
      <c r="D34">
        <f t="shared" si="0"/>
        <v>-11.7</v>
      </c>
      <c r="E34">
        <v>2.6</v>
      </c>
      <c r="F34">
        <f t="shared" si="1"/>
        <v>-0.39999999999999991</v>
      </c>
      <c r="G34">
        <v>16.7</v>
      </c>
      <c r="H34">
        <v>13.4</v>
      </c>
      <c r="AE34">
        <f>$Y$6+($Z$6-$Y$6)*EXP((-$U$6*$W$6*A34)/($AA$6*$AC$6*$X$6))</f>
        <v>19.071793157879096</v>
      </c>
      <c r="AK34">
        <f>$Y$6+($Z$6-$Y$6)*$AI$6*(SIN($AH$6)/$AH$6)*EXP((-1)*($AH$6^2)*$AJ$6*A34/($J$6^2))</f>
        <v>17.387289025753518</v>
      </c>
      <c r="AL34">
        <f>$AJ$6*A34/($J$6^2)</f>
        <v>0.19241703697813928</v>
      </c>
    </row>
    <row r="35" spans="1:38" x14ac:dyDescent="0.2">
      <c r="A35">
        <v>870</v>
      </c>
      <c r="B35">
        <v>14.5</v>
      </c>
      <c r="C35">
        <v>-8.9</v>
      </c>
      <c r="D35">
        <f t="shared" si="0"/>
        <v>-11.9</v>
      </c>
      <c r="E35">
        <v>2.6</v>
      </c>
      <c r="F35">
        <f t="shared" si="1"/>
        <v>-0.39999999999999991</v>
      </c>
      <c r="G35">
        <v>16.3</v>
      </c>
      <c r="H35">
        <v>12.6</v>
      </c>
      <c r="AE35">
        <f>$Y$6+($Z$6-$Y$6)*EXP((-$U$6*$W$6*A35)/($AA$6*$AC$6*$X$6))</f>
        <v>18.859528906428654</v>
      </c>
      <c r="AK35" s="11">
        <f>$Y$6+($Z$6-$Y$6)*$AI$6*(SIN($AH$6)/$AH$6)*EXP((-1)*($AH$6^2)*$AJ$6*A35/($J$6^2))</f>
        <v>17.198157489839552</v>
      </c>
      <c r="AL35" s="11">
        <f>$AJ$6*A35/($J$6^2)</f>
        <v>0.19928907401307286</v>
      </c>
    </row>
    <row r="36" spans="1:38" x14ac:dyDescent="0.2">
      <c r="A36">
        <v>900</v>
      </c>
      <c r="B36">
        <v>15</v>
      </c>
      <c r="C36">
        <v>-9.1999999999999993</v>
      </c>
      <c r="D36">
        <f t="shared" si="0"/>
        <v>-12.2</v>
      </c>
      <c r="E36">
        <v>2.6</v>
      </c>
      <c r="F36">
        <f t="shared" si="1"/>
        <v>-0.39999999999999991</v>
      </c>
      <c r="G36">
        <v>16.100000000000001</v>
      </c>
      <c r="H36">
        <v>11.8</v>
      </c>
      <c r="AE36">
        <f>$Y$6+($Z$6-$Y$6)*EXP((-$U$6*$W$6*A36)/($AA$6*$AC$6*$X$6))</f>
        <v>18.648614780583703</v>
      </c>
      <c r="AK36" s="11">
        <f>$Y$6+($Z$6-$Y$6)*$AI$6*(SIN($AH$6)/$AH$6)*EXP((-1)*($AH$6^2)*$AJ$6*A36/($J$6^2))</f>
        <v>17.01015482101953</v>
      </c>
      <c r="AL36" s="11">
        <f>$AJ$6*A36/($J$6^2)</f>
        <v>0.20616111104800638</v>
      </c>
    </row>
    <row r="37" spans="1:38" x14ac:dyDescent="0.2">
      <c r="A37">
        <v>930</v>
      </c>
      <c r="B37">
        <v>15.5</v>
      </c>
      <c r="C37">
        <v>-9.3000000000000007</v>
      </c>
      <c r="D37">
        <f t="shared" si="0"/>
        <v>-12.3</v>
      </c>
      <c r="E37">
        <v>2.5</v>
      </c>
      <c r="F37">
        <f t="shared" si="1"/>
        <v>-0.5</v>
      </c>
      <c r="G37">
        <v>15.6</v>
      </c>
      <c r="H37">
        <v>11.4</v>
      </c>
      <c r="AE37">
        <f>$Y$6+($Z$6-$Y$6)*EXP((-$U$6*$W$6*A37)/($AA$6*$AC$6*$X$6))</f>
        <v>18.439042192750545</v>
      </c>
      <c r="AK37" s="11">
        <f>$Y$6+($Z$6-$Y$6)*$AI$6*(SIN($AH$6)/$AH$6)*EXP((-1)*($AH$6^2)*$AJ$6*A37/($J$6^2))</f>
        <v>16.823274281438163</v>
      </c>
      <c r="AL37" s="11">
        <f>$AJ$6*A37/($J$6^2)</f>
        <v>0.21303314808293991</v>
      </c>
    </row>
    <row r="38" spans="1:38" x14ac:dyDescent="0.2">
      <c r="A38">
        <v>960</v>
      </c>
      <c r="B38">
        <v>16</v>
      </c>
      <c r="C38">
        <v>-9.5</v>
      </c>
      <c r="D38">
        <f t="shared" si="0"/>
        <v>-12.5</v>
      </c>
      <c r="E38">
        <v>2.5</v>
      </c>
      <c r="F38">
        <f t="shared" si="1"/>
        <v>-0.5</v>
      </c>
      <c r="G38">
        <v>15.4</v>
      </c>
      <c r="H38">
        <v>11</v>
      </c>
      <c r="AE38">
        <f>$Y$6+($Z$6-$Y$6)*EXP((-$U$6*$W$6*A38)/($AA$6*$AC$6*$X$6))</f>
        <v>18.23080260995761</v>
      </c>
      <c r="AK38" s="11">
        <f>$Y$6+($Z$6-$Y$6)*$AI$6*(SIN($AH$6)/$AH$6)*EXP((-1)*($AH$6^2)*$AJ$6*A38/($J$6^2))</f>
        <v>16.637509173456358</v>
      </c>
      <c r="AL38" s="11">
        <f>$AJ$6*A38/($J$6^2)</f>
        <v>0.21990518511787344</v>
      </c>
    </row>
    <row r="39" spans="1:38" x14ac:dyDescent="0.2">
      <c r="A39">
        <v>990</v>
      </c>
      <c r="B39">
        <v>16.5</v>
      </c>
      <c r="C39">
        <v>-9.6999999999999993</v>
      </c>
      <c r="D39">
        <f t="shared" si="0"/>
        <v>-12.7</v>
      </c>
      <c r="E39">
        <v>2.5</v>
      </c>
      <c r="F39">
        <f t="shared" si="1"/>
        <v>-0.5</v>
      </c>
      <c r="G39">
        <v>15</v>
      </c>
      <c r="H39">
        <v>10.6</v>
      </c>
      <c r="AE39">
        <f>$Y$6+($Z$6-$Y$6)*EXP((-$U$6*$W$6*A39)/($AA$6*$AC$6*$X$6))</f>
        <v>18.023887553508072</v>
      </c>
      <c r="AK39" s="11">
        <f>$Y$6+($Z$6-$Y$6)*$AI$6*(SIN($AH$6)/$AH$6)*EXP((-1)*($AH$6^2)*$AJ$6*A39/($J$6^2))</f>
        <v>16.452852839411101</v>
      </c>
      <c r="AL39" s="11">
        <f>$AJ$6*A39/($J$6^2)</f>
        <v>0.22677722215280702</v>
      </c>
    </row>
    <row r="40" spans="1:38" x14ac:dyDescent="0.2">
      <c r="A40">
        <v>1020</v>
      </c>
      <c r="B40">
        <v>17</v>
      </c>
      <c r="C40">
        <v>-9.6999999999999993</v>
      </c>
      <c r="D40">
        <f t="shared" si="0"/>
        <v>-12.7</v>
      </c>
      <c r="E40">
        <v>2.5</v>
      </c>
      <c r="F40">
        <f t="shared" si="1"/>
        <v>-0.5</v>
      </c>
      <c r="G40">
        <v>14.7</v>
      </c>
      <c r="H40">
        <v>10.3</v>
      </c>
      <c r="AE40">
        <f>$Y$6+($Z$6-$Y$6)*EXP((-$U$6*$W$6*A40)/($AA$6*$AC$6*$X$6))</f>
        <v>17.818288598634599</v>
      </c>
      <c r="AK40" s="11">
        <f>$Y$6+($Z$6-$Y$6)*$AI$6*(SIN($AH$6)/$AH$6)*EXP((-1)*($AH$6^2)*$AJ$6*A40/($J$6^2))</f>
        <v>16.269298661376915</v>
      </c>
      <c r="AL40" s="11">
        <f>$AJ$6*A40/($J$6^2)</f>
        <v>0.23364925918774054</v>
      </c>
    </row>
    <row r="41" spans="1:38" x14ac:dyDescent="0.2">
      <c r="A41">
        <v>1050</v>
      </c>
      <c r="B41">
        <v>17.5</v>
      </c>
      <c r="C41">
        <v>-9.8000000000000007</v>
      </c>
      <c r="D41">
        <f t="shared" si="0"/>
        <v>-12.8</v>
      </c>
      <c r="E41">
        <v>2.5</v>
      </c>
      <c r="F41">
        <f t="shared" si="1"/>
        <v>-0.5</v>
      </c>
      <c r="G41">
        <v>14.4</v>
      </c>
      <c r="H41">
        <v>10.199999999999999</v>
      </c>
      <c r="AE41">
        <f>$Y$6+($Z$6-$Y$6)*EXP((-$U$6*$W$6*A41)/($AA$6*$AC$6*$X$6))</f>
        <v>17.613997374156337</v>
      </c>
      <c r="AK41" s="11">
        <f>$Y$6+($Z$6-$Y$6)*$AI$6*(SIN($AH$6)/$AH$6)*EXP((-1)*($AH$6^2)*$AJ$6*A41/($J$6^2))</f>
        <v>16.08684006092864</v>
      </c>
      <c r="AL41" s="11">
        <f>$AJ$6*A41/($J$6^2)</f>
        <v>0.24052129622267407</v>
      </c>
    </row>
    <row r="42" spans="1:38" x14ac:dyDescent="0.2">
      <c r="A42">
        <v>1080</v>
      </c>
      <c r="B42">
        <v>18</v>
      </c>
      <c r="C42">
        <v>-9.9</v>
      </c>
      <c r="D42">
        <f t="shared" si="0"/>
        <v>-12.9</v>
      </c>
      <c r="E42">
        <v>2.5</v>
      </c>
      <c r="F42">
        <f t="shared" si="1"/>
        <v>-0.5</v>
      </c>
      <c r="G42">
        <v>14.1</v>
      </c>
      <c r="H42">
        <v>9.8000000000000007</v>
      </c>
      <c r="AE42">
        <f>$Y$6+($Z$6-$Y$6)*EXP((-$U$6*$W$6*A42)/($AA$6*$AC$6*$X$6))</f>
        <v>17.411005562138069</v>
      </c>
      <c r="AK42" s="11">
        <f>$Y$6+($Z$6-$Y$6)*$AI$6*(SIN($AH$6)/$AH$6)*EXP((-1)*($AH$6^2)*$AJ$6*A42/($J$6^2))</f>
        <v>15.905470498905697</v>
      </c>
      <c r="AL42" s="11">
        <f>$AJ$6*A42/($J$6^2)</f>
        <v>0.24739333325760765</v>
      </c>
    </row>
    <row r="43" spans="1:38" x14ac:dyDescent="0.2">
      <c r="A43">
        <v>1110</v>
      </c>
      <c r="B43">
        <v>18.5</v>
      </c>
      <c r="C43">
        <v>-10</v>
      </c>
      <c r="D43">
        <f t="shared" si="0"/>
        <v>-13</v>
      </c>
      <c r="E43">
        <v>2.5</v>
      </c>
      <c r="F43">
        <f t="shared" si="1"/>
        <v>-0.5</v>
      </c>
      <c r="G43">
        <v>13.8</v>
      </c>
      <c r="H43">
        <v>9.6</v>
      </c>
      <c r="AE43">
        <f>$Y$6+($Z$6-$Y$6)*EXP((-$U$6*$W$6*A43)/($AA$6*$AC$6*$X$6))</f>
        <v>17.209304897551551</v>
      </c>
      <c r="AK43" s="11">
        <f>$Y$6+($Z$6-$Y$6)*$AI$6*(SIN($AH$6)/$AH$6)*EXP((-1)*($AH$6^2)*$AJ$6*A43/($J$6^2))</f>
        <v>15.725183475177698</v>
      </c>
      <c r="AL43" s="11">
        <f>$AJ$6*A43/($J$6^2)</f>
        <v>0.2542653702925412</v>
      </c>
    </row>
    <row r="44" spans="1:38" x14ac:dyDescent="0.2">
      <c r="A44">
        <v>1140</v>
      </c>
      <c r="B44">
        <v>19</v>
      </c>
      <c r="C44">
        <v>-10.1</v>
      </c>
      <c r="D44">
        <f t="shared" si="0"/>
        <v>-13.1</v>
      </c>
      <c r="E44">
        <v>2.5</v>
      </c>
      <c r="F44">
        <f t="shared" si="1"/>
        <v>-0.5</v>
      </c>
      <c r="G44">
        <v>13.5</v>
      </c>
      <c r="H44">
        <v>9.4</v>
      </c>
      <c r="AE44">
        <f>$Y$6+($Z$6-$Y$6)*EXP((-$U$6*$W$6*A44)/($AA$6*$AC$6*$X$6))</f>
        <v>17.008887167938976</v>
      </c>
      <c r="AK44" s="11">
        <f>$Y$6+($Z$6-$Y$6)*$AI$6*(SIN($AH$6)/$AH$6)*EXP((-1)*($AH$6^2)*$AJ$6*A44/($J$6^2))</f>
        <v>15.545972528411522</v>
      </c>
      <c r="AL44" s="11">
        <f>$AJ$6*A44/($J$6^2)</f>
        <v>0.2611374073274747</v>
      </c>
    </row>
    <row r="45" spans="1:38" x14ac:dyDescent="0.2">
      <c r="A45">
        <v>1170</v>
      </c>
      <c r="B45">
        <v>19.5</v>
      </c>
      <c r="C45">
        <v>-10.1</v>
      </c>
      <c r="D45">
        <f t="shared" si="0"/>
        <v>-13.1</v>
      </c>
      <c r="E45">
        <v>2.5</v>
      </c>
      <c r="F45">
        <f t="shared" si="1"/>
        <v>-0.5</v>
      </c>
      <c r="G45">
        <v>13.2</v>
      </c>
      <c r="H45">
        <v>9.1</v>
      </c>
      <c r="AE45">
        <f>$Y$6+($Z$6-$Y$6)*EXP((-$U$6*$W$6*A45)/($AA$6*$AC$6*$X$6))</f>
        <v>16.809744213078609</v>
      </c>
      <c r="AK45" s="11">
        <f>$Y$6+($Z$6-$Y$6)*$AI$6*(SIN($AH$6)/$AH$6)*EXP((-1)*($AH$6^2)*$AJ$6*A45/($J$6^2))</f>
        <v>15.367831235839709</v>
      </c>
      <c r="AL45" s="11">
        <f>$AJ$6*A45/($J$6^2)</f>
        <v>0.26800944436240831</v>
      </c>
    </row>
    <row r="46" spans="1:38" x14ac:dyDescent="0.2">
      <c r="A46">
        <v>1200</v>
      </c>
      <c r="B46">
        <v>20</v>
      </c>
      <c r="C46">
        <v>-10.199999999999999</v>
      </c>
      <c r="D46">
        <f t="shared" si="0"/>
        <v>-13.2</v>
      </c>
      <c r="E46">
        <v>2.5</v>
      </c>
      <c r="F46">
        <f t="shared" si="1"/>
        <v>-0.5</v>
      </c>
      <c r="G46">
        <v>12.9</v>
      </c>
      <c r="H46">
        <v>8.8000000000000007</v>
      </c>
      <c r="AE46">
        <f>$Y$6+($Z$6-$Y$6)*EXP((-$U$6*$W$6*A46)/($AA$6*$AC$6*$X$6))</f>
        <v>16.611867924652529</v>
      </c>
      <c r="AK46" s="11">
        <f>$Y$6+($Z$6-$Y$6)*$AI$6*(SIN($AH$6)/$AH$6)*EXP((-1)*($AH$6^2)*$AJ$6*A46/($J$6^2))</f>
        <v>15.190753213030302</v>
      </c>
      <c r="AL46" s="11">
        <f>$AJ$6*A46/($J$6^2)</f>
        <v>0.27488148139734181</v>
      </c>
    </row>
    <row r="47" spans="1:38" x14ac:dyDescent="0.2">
      <c r="A47">
        <v>1230</v>
      </c>
      <c r="B47">
        <v>20.5</v>
      </c>
      <c r="C47">
        <v>-10.199999999999999</v>
      </c>
      <c r="D47">
        <f t="shared" si="0"/>
        <v>-13.2</v>
      </c>
      <c r="E47">
        <v>2.5</v>
      </c>
      <c r="F47">
        <f t="shared" si="1"/>
        <v>-0.5</v>
      </c>
      <c r="G47">
        <v>12.8</v>
      </c>
      <c r="H47">
        <v>8.6</v>
      </c>
      <c r="AE47">
        <f>$Y$6+($Z$6-$Y$6)*EXP((-$U$6*$W$6*A47)/($AA$6*$AC$6*$X$6))</f>
        <v>16.415250245916493</v>
      </c>
      <c r="AK47" s="11">
        <f>$Y$6+($Z$6-$Y$6)*$AI$6*(SIN($AH$6)/$AH$6)*EXP((-1)*($AH$6^2)*$AJ$6*A47/($J$6^2))</f>
        <v>15.014732113658027</v>
      </c>
      <c r="AL47" s="11">
        <f>$AJ$6*A47/($J$6^2)</f>
        <v>0.28175351843227536</v>
      </c>
    </row>
    <row r="48" spans="1:38" x14ac:dyDescent="0.2">
      <c r="A48">
        <v>1260</v>
      </c>
      <c r="B48">
        <v>21</v>
      </c>
      <c r="C48">
        <v>-10.199999999999999</v>
      </c>
      <c r="D48">
        <f t="shared" si="0"/>
        <v>-13.2</v>
      </c>
      <c r="E48">
        <v>2.5</v>
      </c>
      <c r="F48">
        <f t="shared" si="1"/>
        <v>-0.5</v>
      </c>
      <c r="G48">
        <v>12.4</v>
      </c>
      <c r="H48">
        <v>8.5</v>
      </c>
      <c r="AE48">
        <f>$Y$6+($Z$6-$Y$6)*EXP((-$U$6*$W$6*A48)/($AA$6*$AC$6*$X$6))</f>
        <v>16.219883171371887</v>
      </c>
      <c r="AK48" s="11">
        <f>$Y$6+($Z$6-$Y$6)*$AI$6*(SIN($AH$6)/$AH$6)*EXP((-1)*($AH$6^2)*$AJ$6*A48/($J$6^2))</f>
        <v>14.83976162927685</v>
      </c>
      <c r="AL48" s="11">
        <f>$AJ$6*A48/($J$6^2)</f>
        <v>0.28862555546720892</v>
      </c>
    </row>
    <row r="49" spans="1:38" x14ac:dyDescent="0.2">
      <c r="A49">
        <v>1290</v>
      </c>
      <c r="B49">
        <v>21.5</v>
      </c>
      <c r="C49">
        <v>-10.199999999999999</v>
      </c>
      <c r="D49">
        <f t="shared" si="0"/>
        <v>-13.2</v>
      </c>
      <c r="E49">
        <v>2.5</v>
      </c>
      <c r="F49">
        <f t="shared" si="1"/>
        <v>-0.5</v>
      </c>
      <c r="G49">
        <v>12.1</v>
      </c>
      <c r="H49">
        <v>8.4</v>
      </c>
      <c r="AE49">
        <f>$Y$6+($Z$6-$Y$6)*EXP((-$U$6*$W$6*A49)/($AA$6*$AC$6*$X$6))</f>
        <v>16.025758746439788</v>
      </c>
      <c r="AK49" s="11">
        <f>$Y$6+($Z$6-$Y$6)*$AI$6*(SIN($AH$6)/$AH$6)*EXP((-1)*($AH$6^2)*$AJ$6*A49/($J$6^2))</f>
        <v>14.665835489093872</v>
      </c>
      <c r="AL49" s="11">
        <f>$AJ$6*A49/($J$6^2)</f>
        <v>0.29549759250214247</v>
      </c>
    </row>
    <row r="50" spans="1:38" x14ac:dyDescent="0.2">
      <c r="A50">
        <v>1320</v>
      </c>
      <c r="B50">
        <v>22</v>
      </c>
      <c r="C50">
        <v>-10.4</v>
      </c>
      <c r="D50">
        <f t="shared" si="0"/>
        <v>-13.4</v>
      </c>
      <c r="E50">
        <v>2.5</v>
      </c>
      <c r="F50">
        <f t="shared" si="1"/>
        <v>-0.5</v>
      </c>
      <c r="G50">
        <v>11.8</v>
      </c>
      <c r="H50">
        <v>8.1999999999999993</v>
      </c>
      <c r="AE50">
        <f>$Y$6+($Z$6-$Y$6)*EXP((-$U$6*$W$6*A50)/($AA$6*$AC$6*$X$6))</f>
        <v>15.832869067137075</v>
      </c>
      <c r="AK50" s="11">
        <f>$Y$6+($Z$6-$Y$6)*$AI$6*(SIN($AH$6)/$AH$6)*EXP((-1)*($AH$6^2)*$AJ$6*A50/($J$6^2))</f>
        <v>14.492947459744592</v>
      </c>
      <c r="AL50" s="11">
        <f>$AJ$6*A50/($J$6^2)</f>
        <v>0.30236962953707602</v>
      </c>
    </row>
    <row r="51" spans="1:38" x14ac:dyDescent="0.2">
      <c r="A51">
        <v>1350</v>
      </c>
      <c r="B51">
        <v>22.5</v>
      </c>
      <c r="C51">
        <v>-10.5</v>
      </c>
      <c r="D51">
        <f t="shared" si="0"/>
        <v>-13.5</v>
      </c>
      <c r="E51">
        <v>2.5</v>
      </c>
      <c r="F51">
        <f t="shared" si="1"/>
        <v>-0.5</v>
      </c>
      <c r="G51">
        <v>11.3</v>
      </c>
      <c r="H51">
        <v>7.3</v>
      </c>
      <c r="AE51">
        <f>$Y$6+($Z$6-$Y$6)*EXP((-$U$6*$W$6*A51)/($AA$6*$AC$6*$X$6))</f>
        <v>15.641206279754609</v>
      </c>
      <c r="AK51" s="11">
        <f>$Y$6+($Z$6-$Y$6)*$AI$6*(SIN($AH$6)/$AH$6)*EXP((-1)*($AH$6^2)*$AJ$6*A51/($J$6^2))</f>
        <v>14.321091345069537</v>
      </c>
      <c r="AL51" s="11">
        <f>$AJ$6*A51/($J$6^2)</f>
        <v>0.30924166657200958</v>
      </c>
    </row>
    <row r="52" spans="1:38" x14ac:dyDescent="0.2">
      <c r="A52">
        <v>1380</v>
      </c>
      <c r="B52">
        <v>23</v>
      </c>
      <c r="C52">
        <v>-10.5</v>
      </c>
      <c r="D52">
        <f t="shared" si="0"/>
        <v>-13.5</v>
      </c>
      <c r="E52">
        <v>2.5</v>
      </c>
      <c r="F52">
        <f t="shared" si="1"/>
        <v>-0.5</v>
      </c>
      <c r="G52">
        <v>10.7</v>
      </c>
      <c r="H52">
        <v>6.9</v>
      </c>
      <c r="AE52">
        <f>$Y$6+($Z$6-$Y$6)*EXP((-$U$6*$W$6*A52)/($AA$6*$AC$6*$X$6))</f>
        <v>15.450762580537479</v>
      </c>
      <c r="AK52" s="11">
        <f>$Y$6+($Z$6-$Y$6)*$AI$6*(SIN($AH$6)/$AH$6)*EXP((-1)*($AH$6^2)*$AJ$6*A52/($J$6^2))</f>
        <v>14.15026098589216</v>
      </c>
      <c r="AL52" s="11">
        <f>$AJ$6*A52/($J$6^2)</f>
        <v>0.31611370360694308</v>
      </c>
    </row>
    <row r="53" spans="1:38" x14ac:dyDescent="0.2">
      <c r="A53">
        <v>1410</v>
      </c>
      <c r="B53">
        <v>23.5</v>
      </c>
      <c r="C53">
        <v>-10.6</v>
      </c>
      <c r="D53">
        <f t="shared" si="0"/>
        <v>-13.6</v>
      </c>
      <c r="E53">
        <v>2.5</v>
      </c>
      <c r="F53">
        <f t="shared" si="1"/>
        <v>-0.5</v>
      </c>
      <c r="G53">
        <v>10.3</v>
      </c>
      <c r="H53">
        <v>6.7</v>
      </c>
      <c r="AE53">
        <f>$Y$6+($Z$6-$Y$6)*EXP((-$U$6*$W$6*A53)/($AA$6*$AC$6*$X$6))</f>
        <v>15.26153021536723</v>
      </c>
      <c r="AK53" s="11">
        <f>$Y$6+($Z$6-$Y$6)*$AI$6*(SIN($AH$6)/$AH$6)*EXP((-1)*($AH$6^2)*$AJ$6*A53/($J$6^2))</f>
        <v>13.980450259798122</v>
      </c>
      <c r="AL53" s="11">
        <f>$AJ$6*A53/($J$6^2)</f>
        <v>0.32298574064187663</v>
      </c>
    </row>
    <row r="54" spans="1:38" x14ac:dyDescent="0.2">
      <c r="A54">
        <v>1440</v>
      </c>
      <c r="B54">
        <v>24</v>
      </c>
      <c r="C54">
        <v>-10.6</v>
      </c>
      <c r="D54">
        <f t="shared" si="0"/>
        <v>-13.6</v>
      </c>
      <c r="E54">
        <v>2.5</v>
      </c>
      <c r="F54">
        <f t="shared" si="1"/>
        <v>-0.5</v>
      </c>
      <c r="G54">
        <v>10.1</v>
      </c>
      <c r="H54">
        <v>6.5</v>
      </c>
      <c r="AE54">
        <f>$Y$6+($Z$6-$Y$6)*EXP((-$U$6*$W$6*A54)/($AA$6*$AC$6*$X$6))</f>
        <v>15.073501479446183</v>
      </c>
      <c r="AK54" s="11">
        <f>$Y$6+($Z$6-$Y$6)*$AI$6*(SIN($AH$6)/$AH$6)*EXP((-1)*($AH$6^2)*$AJ$6*A54/($J$6^2))</f>
        <v>13.81165308091586</v>
      </c>
      <c r="AL54" s="11">
        <f>$AJ$6*A54/($J$6^2)</f>
        <v>0.32985777767681018</v>
      </c>
    </row>
    <row r="55" spans="1:38" x14ac:dyDescent="0.2">
      <c r="A55">
        <v>1470</v>
      </c>
      <c r="B55">
        <v>24.5</v>
      </c>
      <c r="C55">
        <v>-10.8</v>
      </c>
      <c r="D55">
        <f t="shared" si="0"/>
        <v>-13.8</v>
      </c>
      <c r="E55">
        <v>2.5</v>
      </c>
      <c r="F55">
        <f t="shared" si="1"/>
        <v>-0.5</v>
      </c>
      <c r="G55">
        <v>9.9</v>
      </c>
      <c r="H55">
        <v>6.3</v>
      </c>
      <c r="AE55">
        <f>$Y$6+($Z$6-$Y$6)*EXP((-$U$6*$W$6*A55)/($AA$6*$AC$6*$X$6))</f>
        <v>14.886668716983706</v>
      </c>
      <c r="AK55" s="11">
        <f>$Y$6+($Z$6-$Y$6)*$AI$6*(SIN($AH$6)/$AH$6)*EXP((-1)*($AH$6^2)*$AJ$6*A55/($J$6^2))</f>
        <v>13.643863399698482</v>
      </c>
      <c r="AL55" s="11">
        <f>$AJ$6*A55/($J$6^2)</f>
        <v>0.33672981471174374</v>
      </c>
    </row>
    <row r="56" spans="1:38" x14ac:dyDescent="0.2">
      <c r="A56">
        <v>1500</v>
      </c>
      <c r="B56">
        <v>25</v>
      </c>
      <c r="C56">
        <v>-10.9</v>
      </c>
      <c r="D56">
        <f t="shared" si="0"/>
        <v>-13.9</v>
      </c>
      <c r="E56">
        <v>2.5</v>
      </c>
      <c r="F56">
        <f t="shared" si="1"/>
        <v>-0.5</v>
      </c>
      <c r="G56">
        <v>9.8000000000000007</v>
      </c>
      <c r="H56">
        <v>6.1</v>
      </c>
      <c r="AE56">
        <f>$Y$6+($Z$6-$Y$6)*EXP((-$U$6*$W$6*A56)/($AA$6*$AC$6*$X$6))</f>
        <v>14.701024320884482</v>
      </c>
      <c r="AK56" s="11">
        <f>$Y$6+($Z$6-$Y$6)*$AI$6*(SIN($AH$6)/$AH$6)*EXP((-1)*($AH$6^2)*$AJ$6*A56/($J$6^2))</f>
        <v>13.477075202706949</v>
      </c>
      <c r="AL56" s="11">
        <f>$AJ$6*A56/($J$6^2)</f>
        <v>0.34360185174667729</v>
      </c>
    </row>
    <row r="57" spans="1:38" x14ac:dyDescent="0.2">
      <c r="A57">
        <v>1530</v>
      </c>
      <c r="B57">
        <v>25.5</v>
      </c>
      <c r="C57">
        <v>-10.9</v>
      </c>
      <c r="D57">
        <f t="shared" si="0"/>
        <v>-13.9</v>
      </c>
      <c r="E57">
        <v>2.5</v>
      </c>
      <c r="F57">
        <f t="shared" si="1"/>
        <v>-0.5</v>
      </c>
      <c r="G57">
        <v>9.3000000000000007</v>
      </c>
      <c r="H57">
        <v>5.7</v>
      </c>
      <c r="AE57">
        <f>$Y$6+($Z$6-$Y$6)*EXP((-$U$6*$W$6*A57)/($AA$6*$AC$6*$X$6))</f>
        <v>14.516560732438823</v>
      </c>
      <c r="AK57" s="11">
        <f>$Y$6+($Z$6-$Y$6)*$AI$6*(SIN($AH$6)/$AH$6)*EXP((-1)*($AH$6^2)*$AJ$6*A57/($J$6^2))</f>
        <v>13.311282512394573</v>
      </c>
      <c r="AL57" s="11">
        <f>$AJ$6*A57/($J$6^2)</f>
        <v>0.35047388878161084</v>
      </c>
    </row>
    <row r="58" spans="1:38" x14ac:dyDescent="0.2">
      <c r="A58">
        <v>1560</v>
      </c>
      <c r="B58">
        <v>26</v>
      </c>
      <c r="C58">
        <v>-11</v>
      </c>
      <c r="D58">
        <f t="shared" si="0"/>
        <v>-14</v>
      </c>
      <c r="E58">
        <v>2.4</v>
      </c>
      <c r="F58">
        <f t="shared" si="1"/>
        <v>-0.60000000000000009</v>
      </c>
      <c r="G58">
        <v>8.9</v>
      </c>
      <c r="H58">
        <v>5.4</v>
      </c>
      <c r="AE58">
        <f>$Y$6+($Z$6-$Y$6)*EXP((-$U$6*$W$6*A58)/($AA$6*$AC$6*$X$6))</f>
        <v>14.333270441014871</v>
      </c>
      <c r="AK58" s="11">
        <f>$Y$6+($Z$6-$Y$6)*$AI$6*(SIN($AH$6)/$AH$6)*EXP((-1)*($AH$6^2)*$AJ$6*A58/($J$6^2))</f>
        <v>13.146479386892761</v>
      </c>
      <c r="AL58" s="11">
        <f>$AJ$6*A58/($J$6^2)</f>
        <v>0.3573459258165444</v>
      </c>
    </row>
    <row r="59" spans="1:38" x14ac:dyDescent="0.2">
      <c r="A59">
        <v>1590</v>
      </c>
      <c r="B59">
        <v>26.5</v>
      </c>
      <c r="C59">
        <v>-11</v>
      </c>
      <c r="D59">
        <f t="shared" si="0"/>
        <v>-14</v>
      </c>
      <c r="E59">
        <v>2.4</v>
      </c>
      <c r="F59">
        <f t="shared" si="1"/>
        <v>-0.60000000000000009</v>
      </c>
      <c r="G59">
        <v>8.5</v>
      </c>
      <c r="H59">
        <v>5.3</v>
      </c>
      <c r="AE59">
        <f>$Y$6+($Z$6-$Y$6)*EXP((-$U$6*$W$6*A59)/($AA$6*$AC$6*$X$6))</f>
        <v>14.151145983752823</v>
      </c>
      <c r="AK59" s="11">
        <f>$Y$6+($Z$6-$Y$6)*$AI$6*(SIN($AH$6)/$AH$6)*EXP((-1)*($AH$6^2)*$AJ$6*A59/($J$6^2))</f>
        <v>12.982659919798081</v>
      </c>
      <c r="AL59" s="11">
        <f>$AJ$6*A59/($J$6^2)</f>
        <v>0.36421796285147789</v>
      </c>
    </row>
    <row r="60" spans="1:38" x14ac:dyDescent="0.2">
      <c r="A60">
        <v>1620</v>
      </c>
      <c r="B60">
        <v>27</v>
      </c>
      <c r="C60">
        <v>-11.1</v>
      </c>
      <c r="D60">
        <f t="shared" si="0"/>
        <v>-14.1</v>
      </c>
      <c r="E60">
        <v>2.4</v>
      </c>
      <c r="F60">
        <f t="shared" si="1"/>
        <v>-0.60000000000000009</v>
      </c>
      <c r="G60">
        <v>8</v>
      </c>
      <c r="H60">
        <v>5.2</v>
      </c>
      <c r="AE60">
        <f>$Y$6+($Z$6-$Y$6)*EXP((-$U$6*$W$6*A60)/($AA$6*$AC$6*$X$6))</f>
        <v>13.970179945261037</v>
      </c>
      <c r="AK60" s="11">
        <f>$Y$6+($Z$6-$Y$6)*$AI$6*(SIN($AH$6)/$AH$6)*EXP((-1)*($AH$6^2)*$AJ$6*A60/($J$6^2))</f>
        <v>12.819818239960593</v>
      </c>
      <c r="AL60" s="11">
        <f>$AJ$6*A60/($J$6^2)</f>
        <v>0.3710899998864115</v>
      </c>
    </row>
    <row r="61" spans="1:38" x14ac:dyDescent="0.2">
      <c r="A61">
        <v>1650</v>
      </c>
      <c r="B61">
        <v>27.5</v>
      </c>
      <c r="C61">
        <v>-11.2</v>
      </c>
      <c r="D61">
        <f t="shared" si="0"/>
        <v>-14.2</v>
      </c>
      <c r="E61">
        <v>2.5</v>
      </c>
      <c r="F61">
        <f t="shared" si="1"/>
        <v>-0.5</v>
      </c>
      <c r="G61">
        <v>7.3</v>
      </c>
      <c r="H61">
        <v>5</v>
      </c>
      <c r="AE61">
        <f>$Y$6+($Z$6-$Y$6)*EXP((-$U$6*$W$6*A61)/($AA$6*$AC$6*$X$6))</f>
        <v>13.79036495731415</v>
      </c>
      <c r="AK61" s="11">
        <f>$Y$6+($Z$6-$Y$6)*$AI$6*(SIN($AH$6)/$AH$6)*EXP((-1)*($AH$6^2)*$AJ$6*A61/($J$6^2))</f>
        <v>12.657948511273403</v>
      </c>
      <c r="AL61" s="11">
        <f>$AJ$6*A61/($J$6^2)</f>
        <v>0.377962036921345</v>
      </c>
    </row>
    <row r="62" spans="1:38" x14ac:dyDescent="0.2">
      <c r="A62">
        <v>1680</v>
      </c>
      <c r="B62">
        <v>28</v>
      </c>
      <c r="C62">
        <v>-11.3</v>
      </c>
      <c r="D62">
        <f t="shared" si="0"/>
        <v>-14.3</v>
      </c>
      <c r="E62">
        <v>2.4</v>
      </c>
      <c r="F62">
        <f t="shared" si="1"/>
        <v>-0.60000000000000009</v>
      </c>
      <c r="G62">
        <v>6.7</v>
      </c>
      <c r="H62">
        <v>4.9000000000000004</v>
      </c>
      <c r="AE62">
        <f>$Y$6+($Z$6-$Y$6)*EXP((-$U$6*$W$6*A62)/($AA$6*$AC$6*$X$6))</f>
        <v>13.611693698553022</v>
      </c>
      <c r="AK62" s="11">
        <f>$Y$6+($Z$6-$Y$6)*$AI$6*(SIN($AH$6)/$AH$6)*EXP((-1)*($AH$6^2)*$AJ$6*A62/($J$6^2))</f>
        <v>12.497044932463531</v>
      </c>
      <c r="AL62" s="11">
        <f>$AJ$6*A62/($J$6^2)</f>
        <v>0.38483407395627856</v>
      </c>
    </row>
    <row r="63" spans="1:38" x14ac:dyDescent="0.2">
      <c r="A63">
        <v>1710</v>
      </c>
      <c r="B63">
        <v>28.5</v>
      </c>
      <c r="C63">
        <v>-11.3</v>
      </c>
      <c r="D63">
        <f t="shared" si="0"/>
        <v>-14.3</v>
      </c>
      <c r="E63">
        <v>2.4</v>
      </c>
      <c r="F63">
        <f t="shared" si="1"/>
        <v>-0.60000000000000009</v>
      </c>
      <c r="G63">
        <v>6.5</v>
      </c>
      <c r="H63">
        <v>4.7</v>
      </c>
      <c r="AE63">
        <f>$Y$6+($Z$6-$Y$6)*EXP((-$U$6*$W$6*A63)/($AA$6*$AC$6*$X$6))</f>
        <v>13.434158894186702</v>
      </c>
      <c r="AK63" s="11">
        <f>$Y$6+($Z$6-$Y$6)*$AI$6*(SIN($AH$6)/$AH$6)*EXP((-1)*($AH$6^2)*$AJ$6*A63/($J$6^2))</f>
        <v>12.337101736883966</v>
      </c>
      <c r="AL63" s="11">
        <f>$AJ$6*A63/($J$6^2)</f>
        <v>0.39170611099121211</v>
      </c>
    </row>
    <row r="64" spans="1:38" x14ac:dyDescent="0.2">
      <c r="A64">
        <v>1740</v>
      </c>
      <c r="B64">
        <v>29</v>
      </c>
      <c r="C64">
        <v>-11.3</v>
      </c>
      <c r="D64">
        <f t="shared" si="0"/>
        <v>-14.3</v>
      </c>
      <c r="E64">
        <v>2.5</v>
      </c>
      <c r="F64">
        <f t="shared" si="1"/>
        <v>-0.5</v>
      </c>
      <c r="G64">
        <v>6.1</v>
      </c>
      <c r="H64">
        <v>4.5999999999999996</v>
      </c>
      <c r="AE64">
        <f>$Y$6+($Z$6-$Y$6)*EXP((-$U$6*$W$6*A64)/($AA$6*$AC$6*$X$6))</f>
        <v>13.257753315696167</v>
      </c>
      <c r="AK64" s="11">
        <f>$Y$6+($Z$6-$Y$6)*$AI$6*(SIN($AH$6)/$AH$6)*EXP((-1)*($AH$6^2)*$AJ$6*A64/($J$6^2))</f>
        <v>12.178113192307027</v>
      </c>
      <c r="AL64" s="11">
        <f>$AJ$6*A64/($J$6^2)</f>
        <v>0.39857814802614572</v>
      </c>
    </row>
    <row r="65" spans="1:38" x14ac:dyDescent="0.2">
      <c r="A65">
        <v>1770</v>
      </c>
      <c r="B65">
        <v>29.5</v>
      </c>
      <c r="C65">
        <v>-10.1</v>
      </c>
      <c r="D65">
        <f t="shared" si="0"/>
        <v>-13.1</v>
      </c>
      <c r="E65">
        <v>2.5</v>
      </c>
      <c r="F65">
        <f t="shared" si="1"/>
        <v>-0.5</v>
      </c>
      <c r="G65">
        <v>6</v>
      </c>
      <c r="H65">
        <v>4.4000000000000004</v>
      </c>
      <c r="AE65">
        <f>$Y$6+($Z$6-$Y$6)*EXP((-$U$6*$W$6*A65)/($AA$6*$AC$6*$X$6))</f>
        <v>13.082469780540034</v>
      </c>
      <c r="AK65" s="11">
        <f>$Y$6+($Z$6-$Y$6)*$AI$6*(SIN($AH$6)/$AH$6)*EXP((-1)*($AH$6^2)*$AJ$6*A65/($J$6^2))</f>
        <v>12.020073600718906</v>
      </c>
      <c r="AL65" s="11">
        <f>$AJ$6*A65/($J$6^2)</f>
        <v>0.40545018506107916</v>
      </c>
    </row>
    <row r="66" spans="1:38" x14ac:dyDescent="0.2">
      <c r="A66">
        <v>1800</v>
      </c>
      <c r="B66">
        <v>30</v>
      </c>
      <c r="C66">
        <v>-9.3000000000000007</v>
      </c>
      <c r="D66">
        <f t="shared" si="0"/>
        <v>-12.3</v>
      </c>
      <c r="E66">
        <v>2.6</v>
      </c>
      <c r="F66">
        <f t="shared" si="1"/>
        <v>-0.39999999999999991</v>
      </c>
      <c r="G66">
        <v>5.9</v>
      </c>
      <c r="H66">
        <v>4.3</v>
      </c>
      <c r="AE66">
        <f>$Y$6+($Z$6-$Y$6)*EXP((-$U$6*$W$6*A66)/($AA$6*$AC$6*$X$6))</f>
        <v>12.908301151862123</v>
      </c>
      <c r="AK66" s="11">
        <f>$Y$6+($Z$6-$Y$6)*$AI$6*(SIN($AH$6)/$AH$6)*EXP((-1)*($AH$6^2)*$AJ$6*A66/($J$6^2))</f>
        <v>11.862977298115464</v>
      </c>
      <c r="AL66" s="11">
        <f>$AJ$6*A66/($J$6^2)</f>
        <v>0.41232222209601277</v>
      </c>
    </row>
  </sheetData>
  <mergeCells count="5">
    <mergeCell ref="AH7:AI7"/>
    <mergeCell ref="AG4:AO4"/>
    <mergeCell ref="A4:H4"/>
    <mergeCell ref="J4:U4"/>
    <mergeCell ref="W4:AE4"/>
  </mergeCells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5166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Numerical Results</vt:lpstr>
      <vt:lpstr>Chart2</vt:lpstr>
      <vt:lpstr>Chart3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Stephens</dc:creator>
  <cp:lastModifiedBy>Trevor</cp:lastModifiedBy>
  <cp:revision>5</cp:revision>
  <dcterms:created xsi:type="dcterms:W3CDTF">2014-04-02T21:53:50Z</dcterms:created>
  <dcterms:modified xsi:type="dcterms:W3CDTF">2014-04-07T13:56:57Z</dcterms:modified>
</cp:coreProperties>
</file>